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EC80567C-96A8-4F19-8EFC-29530F44237C}"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G22" i="5"/>
  <c r="F22" i="5"/>
  <c r="E22" i="5"/>
  <c r="C22" i="5"/>
  <c r="B22" i="5"/>
  <c r="J21" i="5"/>
  <c r="L21" i="5" s="1"/>
  <c r="G21" i="5"/>
  <c r="F21" i="5"/>
  <c r="E21" i="5"/>
  <c r="C21" i="5"/>
  <c r="B21" i="5"/>
  <c r="J20" i="5"/>
  <c r="L20" i="5" s="1"/>
  <c r="G20" i="5"/>
  <c r="F20" i="5"/>
  <c r="E20" i="5"/>
  <c r="C20" i="5"/>
  <c r="B20" i="5"/>
  <c r="J19" i="5"/>
  <c r="L19" i="5" s="1"/>
  <c r="G19" i="5"/>
  <c r="F19" i="5"/>
  <c r="E19" i="5"/>
  <c r="C19" i="5"/>
  <c r="B19" i="5"/>
  <c r="J18" i="5"/>
  <c r="L18" i="5" s="1"/>
  <c r="G18" i="5"/>
  <c r="F18" i="5"/>
  <c r="E18" i="5"/>
  <c r="C18" i="5"/>
  <c r="B18" i="5"/>
  <c r="J17" i="5"/>
  <c r="L17" i="5" s="1"/>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F9" i="5"/>
  <c r="E9" i="5"/>
  <c r="C9" i="5"/>
  <c r="B9" i="5"/>
  <c r="J8" i="5"/>
  <c r="L8" i="5" s="1"/>
  <c r="F8" i="5"/>
  <c r="E8" i="5"/>
  <c r="C8" i="5"/>
  <c r="B8" i="5"/>
  <c r="F7" i="5"/>
  <c r="E7" i="5"/>
  <c r="C7" i="5"/>
  <c r="B7" i="5"/>
  <c r="J6" i="5"/>
  <c r="J9" i="5" s="1"/>
  <c r="L9" i="5" s="1"/>
  <c r="F6" i="5"/>
  <c r="E6" i="5"/>
  <c r="C6" i="5"/>
  <c r="B6" i="5"/>
  <c r="F5" i="5"/>
  <c r="E5" i="5"/>
  <c r="C5" i="5"/>
  <c r="B5" i="5"/>
  <c r="K4" i="5"/>
  <c r="L4" i="5" s="1"/>
  <c r="F4" i="5"/>
  <c r="E4" i="5"/>
  <c r="C4" i="5"/>
  <c r="B4" i="5"/>
  <c r="L3" i="5"/>
  <c r="K3" i="5"/>
  <c r="F3" i="5"/>
  <c r="E3" i="5"/>
  <c r="C3" i="5"/>
  <c r="B3" i="5"/>
  <c r="F2" i="5"/>
  <c r="E2" i="5"/>
  <c r="C2" i="5"/>
  <c r="B2" i="5"/>
  <c r="H11" i="3"/>
  <c r="G11" i="3"/>
  <c r="F11" i="3"/>
  <c r="E11" i="3"/>
  <c r="D11" i="3"/>
  <c r="C11" i="3"/>
  <c r="B11" i="3"/>
  <c r="A11" i="3"/>
  <c r="H10" i="3"/>
  <c r="G10" i="3"/>
  <c r="F10" i="3"/>
  <c r="E10" i="3"/>
  <c r="D10" i="3"/>
  <c r="C10" i="3"/>
  <c r="B10" i="3"/>
  <c r="A10" i="3"/>
  <c r="H9" i="3"/>
  <c r="G9" i="3"/>
  <c r="F9" i="3"/>
  <c r="D9" i="3"/>
  <c r="C9" i="3"/>
  <c r="B9" i="3"/>
  <c r="A9" i="3"/>
  <c r="H8" i="3"/>
  <c r="G8" i="3"/>
  <c r="F8" i="3"/>
  <c r="D8" i="3"/>
  <c r="C8" i="3"/>
  <c r="B8" i="3"/>
  <c r="A8" i="3"/>
  <c r="H7" i="3"/>
  <c r="G7" i="3"/>
  <c r="F7" i="3"/>
  <c r="D7" i="3"/>
  <c r="C7" i="3"/>
  <c r="B7" i="3"/>
  <c r="A7" i="3"/>
  <c r="H6" i="3"/>
  <c r="G6" i="3"/>
  <c r="F6" i="3"/>
  <c r="D6" i="3"/>
  <c r="C6" i="3"/>
  <c r="B6" i="3"/>
  <c r="A6" i="3"/>
  <c r="H5" i="3"/>
  <c r="G5" i="3"/>
  <c r="F5" i="3"/>
  <c r="D5" i="3"/>
  <c r="C5" i="3"/>
  <c r="B5" i="3"/>
  <c r="A5" i="3"/>
  <c r="H4" i="3"/>
  <c r="G4" i="3"/>
  <c r="F4" i="3"/>
  <c r="D4" i="3"/>
  <c r="C4" i="3"/>
  <c r="B4" i="3"/>
  <c r="A4" i="3"/>
  <c r="C2" i="3" s="1"/>
  <c r="C3" i="3" s="1"/>
  <c r="H1" i="3"/>
  <c r="G1" i="3"/>
  <c r="F1" i="3"/>
  <c r="E1" i="3"/>
  <c r="D1" i="3"/>
  <c r="C1" i="3"/>
  <c r="B1" i="3"/>
  <c r="A1" i="3"/>
  <c r="H30" i="2"/>
  <c r="G30" i="2"/>
  <c r="F30" i="2"/>
  <c r="E30" i="2"/>
  <c r="D30" i="2"/>
  <c r="C30" i="2"/>
  <c r="B30" i="2"/>
  <c r="A30" i="2"/>
  <c r="H29" i="2"/>
  <c r="G29" i="2"/>
  <c r="F29" i="2"/>
  <c r="E29" i="2"/>
  <c r="D29" i="2"/>
  <c r="C29" i="2"/>
  <c r="B29" i="2"/>
  <c r="A29" i="2"/>
  <c r="H28" i="2"/>
  <c r="G28" i="2"/>
  <c r="F28" i="2"/>
  <c r="E28" i="2"/>
  <c r="D28" i="2"/>
  <c r="C28" i="2"/>
  <c r="B28" i="2"/>
  <c r="A28" i="2"/>
  <c r="H27" i="2"/>
  <c r="G27" i="2"/>
  <c r="F27" i="2"/>
  <c r="E27" i="2"/>
  <c r="D27" i="2"/>
  <c r="C27" i="2"/>
  <c r="B27" i="2"/>
  <c r="A27" i="2"/>
  <c r="H26" i="2"/>
  <c r="G26" i="2"/>
  <c r="F26" i="2"/>
  <c r="D26" i="2"/>
  <c r="C26" i="2"/>
  <c r="B26" i="2"/>
  <c r="A26" i="2"/>
  <c r="H25" i="2"/>
  <c r="G25" i="2"/>
  <c r="F25" i="2"/>
  <c r="E25" i="2"/>
  <c r="D25" i="2"/>
  <c r="C25" i="2"/>
  <c r="B25" i="2"/>
  <c r="A25" i="2"/>
  <c r="H24" i="2"/>
  <c r="G24" i="2"/>
  <c r="F24" i="2"/>
  <c r="E24" i="2"/>
  <c r="D24" i="2"/>
  <c r="C24" i="2"/>
  <c r="B24" i="2"/>
  <c r="A24" i="2"/>
  <c r="H23" i="2"/>
  <c r="G23" i="2"/>
  <c r="F23" i="2"/>
  <c r="D23" i="2"/>
  <c r="C23" i="2"/>
  <c r="B23" i="2"/>
  <c r="A23" i="2"/>
  <c r="H22" i="2"/>
  <c r="G22" i="2"/>
  <c r="F22" i="2"/>
  <c r="D22" i="2"/>
  <c r="C22" i="2"/>
  <c r="B22" i="2"/>
  <c r="A22" i="2"/>
  <c r="H21" i="2"/>
  <c r="G21" i="2"/>
  <c r="F21" i="2"/>
  <c r="D21" i="2"/>
  <c r="C21" i="2"/>
  <c r="B21" i="2"/>
  <c r="A21" i="2"/>
  <c r="H20" i="2"/>
  <c r="G20" i="2"/>
  <c r="F20" i="2"/>
  <c r="D20" i="2"/>
  <c r="C20" i="2"/>
  <c r="B20" i="2"/>
  <c r="A20" i="2"/>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C4" i="2" s="1"/>
  <c r="B14" i="2"/>
  <c r="A14" i="2"/>
  <c r="H13" i="2"/>
  <c r="G13" i="2"/>
  <c r="E13" i="2"/>
  <c r="C13" i="2"/>
  <c r="B13" i="2"/>
  <c r="A13" i="2"/>
  <c r="H12" i="2"/>
  <c r="G12" i="2"/>
  <c r="F12" i="2"/>
  <c r="E12" i="2"/>
  <c r="D12" i="2"/>
  <c r="C12" i="2"/>
  <c r="B12" i="2"/>
  <c r="A12" i="2"/>
  <c r="H11" i="2"/>
  <c r="G11" i="2"/>
  <c r="F11" i="2"/>
  <c r="E11" i="2"/>
  <c r="D11" i="2"/>
  <c r="C11" i="2"/>
  <c r="B11" i="2"/>
  <c r="A11" i="2"/>
  <c r="H10" i="2"/>
  <c r="G10" i="2"/>
  <c r="F10" i="2"/>
  <c r="E10" i="2"/>
  <c r="D10" i="2"/>
  <c r="C10" i="2"/>
  <c r="B10" i="2"/>
  <c r="A10" i="2"/>
  <c r="G33" i="1" s="1"/>
  <c r="D1" i="2"/>
  <c r="C1" i="2"/>
  <c r="B48" i="1"/>
  <c r="G37" i="1"/>
  <c r="G34" i="1"/>
  <c r="G30" i="1"/>
  <c r="G26" i="1"/>
  <c r="D23" i="1"/>
  <c r="F23" i="1" s="1"/>
  <c r="C23" i="1"/>
  <c r="F13" i="1"/>
  <c r="F11" i="1"/>
  <c r="F37" i="1" s="1"/>
  <c r="J22" i="5" s="1"/>
  <c r="L22" i="5" s="1"/>
  <c r="G6" i="1"/>
  <c r="E4" i="1"/>
  <c r="I26" i="5" s="1"/>
  <c r="B4" i="1"/>
  <c r="C2" i="1"/>
  <c r="G1" i="1"/>
  <c r="K5" i="5" l="1"/>
  <c r="F39" i="1"/>
  <c r="I4" i="5"/>
  <c r="G15" i="1"/>
  <c r="G31" i="1"/>
  <c r="C3" i="2"/>
  <c r="C6" i="2" s="1"/>
  <c r="G32" i="1"/>
  <c r="I2" i="5"/>
  <c r="I6" i="5"/>
  <c r="J7" i="5"/>
  <c r="L7" i="5" s="1"/>
  <c r="I10" i="5"/>
  <c r="I11" i="5"/>
  <c r="I12" i="5"/>
  <c r="I13" i="5"/>
  <c r="I14" i="5"/>
  <c r="I15" i="5"/>
  <c r="I16" i="5"/>
  <c r="I25" i="5"/>
  <c r="G27" i="1"/>
  <c r="G35" i="1"/>
  <c r="I3" i="5"/>
  <c r="I7" i="5"/>
  <c r="I17" i="5"/>
  <c r="I18" i="5"/>
  <c r="I19" i="5"/>
  <c r="I20" i="5"/>
  <c r="I21" i="5"/>
  <c r="I22" i="5"/>
  <c r="G16" i="1"/>
  <c r="G23" i="1"/>
  <c r="G28" i="1"/>
  <c r="G36" i="1"/>
  <c r="G11" i="1"/>
  <c r="G18" i="1" s="1"/>
  <c r="G20" i="1" s="1"/>
  <c r="F18" i="1"/>
  <c r="F20" i="1" s="1"/>
  <c r="F41" i="1" s="1"/>
  <c r="C45" i="1" s="1"/>
  <c r="G25" i="1"/>
  <c r="G29" i="1"/>
  <c r="I5" i="5"/>
  <c r="I9" i="5"/>
  <c r="J10" i="5"/>
  <c r="L10" i="5" s="1"/>
  <c r="L6" i="5"/>
  <c r="I8" i="5"/>
  <c r="I23" i="5"/>
  <c r="I24" i="5"/>
  <c r="G39" i="1" l="1"/>
  <c r="G41" i="1"/>
  <c r="K2" i="5"/>
  <c r="J24" i="5"/>
  <c r="L5" i="5"/>
  <c r="J23" i="5" l="1"/>
  <c r="K23" i="5"/>
  <c r="K28" i="5" s="1"/>
  <c r="L2" i="5"/>
  <c r="K25" i="5"/>
  <c r="L24" i="5"/>
  <c r="L23" i="5" l="1"/>
  <c r="L25" i="5"/>
  <c r="J26" i="5"/>
  <c r="L26" i="5" s="1"/>
  <c r="J28" i="5" l="1"/>
</calcChain>
</file>

<file path=xl/sharedStrings.xml><?xml version="1.0" encoding="utf-8"?>
<sst xmlns="http://schemas.openxmlformats.org/spreadsheetml/2006/main" count="155" uniqueCount="86">
  <si>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</si>
  <si>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</si>
  <si>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</si>
  <si>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</si>
  <si>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</si>
  <si>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</si>
  <si>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</si>
  <si>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</si>
  <si>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</si>
  <si>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</si>
  <si>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</si>
  <si>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</si>
  <si>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</si>
  <si>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</si>
  <si>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</si>
  <si>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</si>
  <si>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t>Softball Boosters' Discretionary Funds</t>
  </si>
  <si>
    <t>Fundraising</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</si>
  <si>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</si>
  <si>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</si>
  <si>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</si>
  <si>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</si>
  <si>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</si>
  <si>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</si>
  <si>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</si>
  <si>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</si>
  <si>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t>1 Head Var, 1 Head JV</t>
  </si>
  <si>
    <t>Player Uniforms/Apparel</t>
  </si>
  <si>
    <r>
      <rPr>
        <sz val="10"/>
        <color theme="1"/>
        <rFont val="Arial"/>
      </rPr>
      <t>New Jerseys ($</t>
    </r>
    <r>
      <rPr>
        <b/>
        <sz val="10"/>
        <color rgb="FF1155CC"/>
        <rFont val="Arial"/>
      </rPr>
      <t>1170.13</t>
    </r>
    <r>
      <rPr>
        <sz val="10"/>
        <color theme="1"/>
        <rFont val="Arial"/>
      </rPr>
      <t>), Jackets ($</t>
    </r>
    <r>
      <rPr>
        <b/>
        <sz val="10"/>
        <color rgb="FF1155CC"/>
        <rFont val="Arial"/>
      </rPr>
      <t>1918.37</t>
    </r>
    <r>
      <rPr>
        <sz val="10"/>
        <color theme="1"/>
        <rFont val="Arial"/>
      </rPr>
      <t>)</t>
    </r>
  </si>
  <si>
    <t>Coaching Uniforms</t>
  </si>
  <si>
    <t>Officials/Dues</t>
  </si>
  <si>
    <r>
      <rPr>
        <sz val="10"/>
        <color theme="1"/>
        <rFont val="Arial"/>
      </rPr>
      <t>4 JV Games ($130 x 4 = $</t>
    </r>
    <r>
      <rPr>
        <b/>
        <sz val="10"/>
        <color rgb="FF1155CC"/>
        <rFont val="Arial"/>
      </rPr>
      <t>520</t>
    </r>
    <r>
      <rPr>
        <sz val="10"/>
        <color theme="1"/>
        <rFont val="Arial"/>
      </rPr>
      <t>), 3 Var Games ($184 x
3 = $</t>
    </r>
    <r>
      <rPr>
        <b/>
        <sz val="10"/>
        <color rgb="FF1155CC"/>
        <rFont val="Arial"/>
      </rPr>
      <t>552</t>
    </r>
    <r>
      <rPr>
        <sz val="10"/>
        <color theme="1"/>
        <rFont val="Arial"/>
      </rPr>
      <t>)</t>
    </r>
  </si>
  <si>
    <t>Travel Expenses</t>
  </si>
  <si>
    <t>Tournament Expenses</t>
  </si>
  <si>
    <t>Equipment</t>
  </si>
  <si>
    <r>
      <rPr>
        <sz val="10"/>
        <color theme="1"/>
        <rFont val="Arial"/>
      </rPr>
      <t>Balls ($479.94), Glove ($179.99), Pitching Machine 
Repair ($0), 2 Bats ($799.98;$</t>
    </r>
    <r>
      <rPr>
        <b/>
        <sz val="10"/>
        <color rgb="FF1155CC"/>
        <rFont val="Arial"/>
      </rPr>
      <t>215.52</t>
    </r>
    <r>
      <rPr>
        <sz val="10"/>
        <color theme="1"/>
        <rFont val="Arial"/>
      </rPr>
      <t xml:space="preserve"> Boosters')
1 Arm Gaurd ($49.99), 2 Lineup Cards ($17.98)
2 Score Books ($17.98), 3 Dozen Game Balls ($239.97)</t>
    </r>
  </si>
  <si>
    <t>Custodial Fees</t>
  </si>
  <si>
    <t>1 Saturday Game ($100)</t>
  </si>
  <si>
    <t>Banquet/Team Lunches</t>
  </si>
  <si>
    <t>Banquet ($500)</t>
  </si>
  <si>
    <t>Offseason Activities</t>
  </si>
  <si>
    <t>Fundraising Expenses</t>
  </si>
  <si>
    <t>Other</t>
  </si>
  <si>
    <r>
      <rPr>
        <sz val="10"/>
        <color theme="1"/>
        <rFont val="arial, sans, sans-serif"/>
      </rPr>
      <t>3 Senior Banners ($60 x 3 = $</t>
    </r>
    <r>
      <rPr>
        <b/>
        <sz val="10"/>
        <color rgb="FF1155CC"/>
        <rFont val="arial, sans, sans-serif"/>
      </rPr>
      <t>180</t>
    </r>
    <r>
      <rPr>
        <sz val="10"/>
        <color theme="1"/>
        <rFont val="arial, sans, sans-serif"/>
      </rPr>
      <t>), Senior Day ($200)</t>
    </r>
  </si>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</sst>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13">
    <font>
      <sz val="10"/>
      <color rgb="FF000000"/>
      <name val="Arial"/>
      <scheme val="minor"/>
    </font>
    <font>
      <b/>
      <sz val="10"/>
      <color theme="1"/>
      <name val="Arial"/>
      <scheme val="minor"/>
    </font>
    <font>
      <sz val="10"/>
      <name val="Arial"/>
    </font>
    <font>
      <sz val="10"/>
      <color theme="1"/>
      <name val="Arial"/>
      <scheme val="minor"/>
    </font>
    <font>
      <sz val="10"/>
      <color theme="1"/>
      <name val="Arial"/>
    </font>
    <font>
      <b/>
      <sz val="10"/>
      <color rgb="FF1155CC"/>
      <name val="Arial"/>
      <scheme val="minor"/>
    </font>
    <font>
      <sz val="10"/>
      <color rgb="FFFFFFFF"/>
      <name val="Arial"/>
    </font>
    <font>
      <b/>
      <sz val="10"/>
      <color theme="1"/>
      <name val="Arial"/>
    </font>
    <font>
      <u/>
      <sz val="9"/>
      <color rgb="FF008000"/>
      <name val="&quot;Google Sans Mono&quot;"/>
    </font>
    <font>
      <u/>
      <sz val="10"/>
      <color rgb="FF1155CC"/>
      <name val="Arial"/>
    </font>
    <font>
      <b/>
      <sz val="10"/>
      <color rgb="FF1155CC"/>
      <name val="Arial"/>
    </font>
    <font>
      <sz val="10"/>
      <color theme="1"/>
      <name val="arial, sans, sans-serif"/>
    </font>
    <font>
      <b/>
      <sz val="10"/>
      <color rgb="FF1155CC"/>
      <name val="arial, sans, sans-serif"/>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9">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6"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7" fillId="0" borderId="0" xfId="0" applyFont="1" applyAlignment="1"/>
    <xf numFmtId="167" fontId="7"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8" fillId="4" borderId="0" xfId="0" applyFont="1" applyFill="1" applyAlignment="1"/>
    <xf numFmtId="0" fontId="9"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5" fillId="0" borderId="17" xfId="0" applyFont="1" applyBorder="1" applyAlignment="1">
      <alignment horizontal="left"/>
    </xf>
    <xf numFmtId="0" fontId="2" fillId="0" borderId="18" xfId="0" applyFont="1" applyBorder="1"/>
    <xf numFmtId="0" fontId="2" fillId="0" borderId="19" xfId="0" applyFont="1" applyBorder="1"/>
    <xf numFmtId="0" fontId="3" fillId="0" borderId="17" xfId="0" applyFont="1" applyBorder="1" applyAlignment="1">
      <alignment horizontal="left"/>
    </xf>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1333</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2</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IFERROR(__xludf.DUMMYFUNCTION("vlookup(mid($B$48,9,4),importrange(""https://docs.google.com/spreadsheets/d/1pJtXv0aZNcpQvmFHmN9sZsKUQYlob45mKdCxeR-6We4/edit#gid=900477289"",""Team!A:D""),3)"),"Softball")</f>
        <v>Softball</v>
      </c>
      <c r="F4" s="69"/>
      <c r="G4" s="72"/>
    </row>
    <row r="6" spans="1:8" ht="12.75">
      <c r="A6" s="6" t="s">
        <v>3</v>
      </c>
      <c r="B6" s="73" t="s">
        <v>4</v>
      </c>
      <c r="C6" s="67"/>
      <c r="D6" s="67"/>
      <c r="E6" s="67"/>
      <c r="F6" s="6"/>
      <c r="G6" s="7">
        <f ca="1">IFERROR(__xludf.DUMMYFUNCTION("index(importrange(BegBal,""AHS!A:F""),match(A2,importrange(BegBal,""AHS!A:A""),0),match(""Fund Balance"",importrange(BegBal,""AHS!A1:F1""),0))"),1715.1)</f>
        <v>1715.1</v>
      </c>
      <c r="H6" s="8"/>
    </row>
    <row r="8" spans="1:8" ht="12.75">
      <c r="A8" s="9">
        <v>7994</v>
      </c>
      <c r="B8" s="74" t="s">
        <v>5</v>
      </c>
      <c r="C8" s="67"/>
      <c r="D8" s="67"/>
      <c r="E8" s="67"/>
      <c r="F8" s="67"/>
      <c r="G8" s="7"/>
    </row>
    <row r="10" spans="1:8" ht="12.75">
      <c r="A10" s="10"/>
      <c r="B10" s="11" t="s">
        <v>6</v>
      </c>
      <c r="C10" s="75" t="s">
        <v>7</v>
      </c>
      <c r="D10" s="76"/>
      <c r="E10" s="76"/>
      <c r="F10" s="12" t="s">
        <v>8</v>
      </c>
      <c r="G10" s="13" t="s">
        <v>9</v>
      </c>
    </row>
    <row r="11" spans="1:8" ht="12.75">
      <c r="A11" s="14">
        <v>8699</v>
      </c>
      <c r="B11" s="15" t="s">
        <v>10</v>
      </c>
      <c r="C11" s="16">
        <v>13</v>
      </c>
      <c r="D11" s="17">
        <v>0.8</v>
      </c>
      <c r="E11" s="16">
        <v>300</v>
      </c>
      <c r="F11" s="18">
        <f>C11*D11*E11</f>
        <v>3120</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v>12</v>
      </c>
      <c r="D13" s="17">
        <v>0.8</v>
      </c>
      <c r="E13" s="16">
        <v>300</v>
      </c>
      <c r="F13" s="18">
        <f>C13*D13*E13</f>
        <v>2880.0000000000005</v>
      </c>
      <c r="G13" s="24"/>
    </row>
    <row r="14" spans="1:8" ht="12.75">
      <c r="B14" s="20"/>
      <c r="C14" s="21" t="s">
        <v>11</v>
      </c>
      <c r="D14" s="21" t="s">
        <v>12</v>
      </c>
      <c r="E14" s="21" t="s">
        <v>13</v>
      </c>
      <c r="F14" s="22"/>
      <c r="G14" s="25"/>
    </row>
    <row r="15" spans="1:8" ht="12.75">
      <c r="A15" s="14">
        <v>8692</v>
      </c>
      <c r="B15" s="26" t="s">
        <v>15</v>
      </c>
      <c r="C15" s="77" t="s">
        <v>16</v>
      </c>
      <c r="D15" s="78"/>
      <c r="E15" s="79"/>
      <c r="F15" s="27">
        <v>6592</v>
      </c>
      <c r="G15" s="28">
        <f ca="1">SUMIF(Transactions!$A$8:$A1010,B15,Transactions!$C$8:$C1010)</f>
        <v>0</v>
      </c>
    </row>
    <row r="16" spans="1:8" ht="12.75">
      <c r="A16" s="14">
        <v>8693</v>
      </c>
      <c r="B16" s="26" t="s">
        <v>17</v>
      </c>
      <c r="C16" s="80"/>
      <c r="D16" s="78"/>
      <c r="E16" s="79"/>
      <c r="F16" s="27"/>
      <c r="G16" s="29">
        <f ca="1">SUMIF(Transactions!$A$8:$A1010,B16,Transactions!$C$8:$C1010)</f>
        <v>0</v>
      </c>
    </row>
    <row r="17" spans="1:7" ht="12.75">
      <c r="C17" s="67"/>
      <c r="D17" s="67"/>
      <c r="E17" s="67"/>
      <c r="G17" s="30"/>
    </row>
    <row r="18" spans="1:7" ht="12.75">
      <c r="A18" s="31"/>
      <c r="B18" s="31"/>
      <c r="C18" s="81" t="s">
        <v>18</v>
      </c>
      <c r="D18" s="67"/>
      <c r="E18" s="67"/>
      <c r="F18" s="33">
        <f t="shared" ref="F18:G18" si="0">SUM(F11:F16)</f>
        <v>12592</v>
      </c>
      <c r="G18" s="34">
        <f t="shared" ca="1" si="0"/>
        <v>0</v>
      </c>
    </row>
    <row r="19" spans="1:7" ht="12.75">
      <c r="C19" s="35"/>
      <c r="D19" s="35"/>
      <c r="E19" s="35"/>
      <c r="F19" s="36"/>
      <c r="G19" s="30"/>
    </row>
    <row r="20" spans="1:7" ht="12.75">
      <c r="A20" s="32"/>
      <c r="B20" s="81" t="s">
        <v>19</v>
      </c>
      <c r="C20" s="67"/>
      <c r="D20" s="67"/>
      <c r="E20" s="67"/>
      <c r="F20" s="33">
        <f ca="1">F18+G6-G8</f>
        <v>14307.1</v>
      </c>
      <c r="G20" s="34">
        <f ca="1">G18+G6-H8</f>
        <v>1715.1</v>
      </c>
    </row>
    <row r="21" spans="1:7" ht="12.75">
      <c r="G21" s="37"/>
    </row>
    <row r="22" spans="1:7" ht="12.75">
      <c r="A22" s="38"/>
      <c r="B22" s="39" t="s">
        <v>20</v>
      </c>
      <c r="C22" s="75" t="s">
        <v>21</v>
      </c>
      <c r="D22" s="76"/>
      <c r="E22" s="76"/>
      <c r="F22" s="12" t="s">
        <v>22</v>
      </c>
      <c r="G22" s="40" t="s">
        <v>23</v>
      </c>
    </row>
    <row r="23" spans="1:7" ht="12.75">
      <c r="A23" s="14">
        <v>8694</v>
      </c>
      <c r="B23" s="15" t="s">
        <v>24</v>
      </c>
      <c r="C23" s="41">
        <f>C11+C13</f>
        <v>25</v>
      </c>
      <c r="D23" s="42">
        <f>IFERROR((C11/(C11+C13))*D11+(C13/(C11+C13))*D13,0)</f>
        <v>0.8</v>
      </c>
      <c r="E23" s="43">
        <v>30</v>
      </c>
      <c r="F23" s="18">
        <f>IFERROR(C23*D23*E23,0)</f>
        <v>600</v>
      </c>
      <c r="G23" s="29">
        <f ca="1">SUMIF(Transactions!$A$8:$A1010,"PAL (Total)",Transactions!$C$8:$C1010)*-1</f>
        <v>0</v>
      </c>
    </row>
    <row r="24" spans="1:7" ht="12.75">
      <c r="B24" s="20"/>
      <c r="C24" s="21" t="s">
        <v>11</v>
      </c>
      <c r="D24" s="21" t="s">
        <v>12</v>
      </c>
      <c r="E24" s="21" t="s">
        <v>13</v>
      </c>
      <c r="F24" s="20"/>
      <c r="G24" s="25"/>
    </row>
    <row r="25" spans="1:7" ht="12.75">
      <c r="A25" s="14">
        <v>2180</v>
      </c>
      <c r="B25" s="26" t="s">
        <v>25</v>
      </c>
      <c r="C25" s="80" t="s">
        <v>26</v>
      </c>
      <c r="D25" s="78"/>
      <c r="E25" s="79"/>
      <c r="F25" s="44">
        <v>6507</v>
      </c>
      <c r="G25" s="28">
        <f ca="1">SUMIF(Transactions!$A$8:$A1010,B25,Transactions!$C$8:$C1010)*-1</f>
        <v>2402.9199999999996</v>
      </c>
    </row>
    <row r="26" spans="1:7" ht="12.75">
      <c r="A26" s="14">
        <v>4341</v>
      </c>
      <c r="B26" s="26" t="s">
        <v>27</v>
      </c>
      <c r="C26" s="80" t="s">
        <v>28</v>
      </c>
      <c r="D26" s="78"/>
      <c r="E26" s="79"/>
      <c r="F26" s="44">
        <v>3088.5</v>
      </c>
      <c r="G26" s="28">
        <f ca="1">SUMIF(Transactions!$A$8:$A1010,B26,Transactions!$C$8:$C1010)*-1</f>
        <v>0</v>
      </c>
    </row>
    <row r="27" spans="1:7" ht="12.75">
      <c r="A27" s="14">
        <v>4342</v>
      </c>
      <c r="B27" s="26" t="s">
        <v>29</v>
      </c>
      <c r="C27" s="80"/>
      <c r="D27" s="78"/>
      <c r="E27" s="79"/>
      <c r="F27" s="44"/>
      <c r="G27" s="28">
        <f ca="1">SUMIF(Transactions!$A$8:$A1010,B27,Transactions!$C$8:$C1010)*-1</f>
        <v>0</v>
      </c>
    </row>
    <row r="28" spans="1:7" ht="12.75">
      <c r="A28" s="14">
        <v>5840</v>
      </c>
      <c r="B28" s="26" t="s">
        <v>30</v>
      </c>
      <c r="C28" s="80" t="s">
        <v>31</v>
      </c>
      <c r="D28" s="78"/>
      <c r="E28" s="79"/>
      <c r="F28" s="44">
        <v>1072</v>
      </c>
      <c r="G28" s="28">
        <f ca="1">SUMIF(Transactions!$A$8:$A1010,B28,Transactions!$C$8:$C1010)*-1</f>
        <v>1570</v>
      </c>
    </row>
    <row r="29" spans="1:7" ht="12.75">
      <c r="A29" s="14">
        <v>5841</v>
      </c>
      <c r="B29" s="26" t="s">
        <v>32</v>
      </c>
      <c r="C29" s="82"/>
      <c r="D29" s="78"/>
      <c r="E29" s="79"/>
      <c r="F29" s="44"/>
      <c r="G29" s="28">
        <f ca="1">SUMIF(Transactions!$A$8:$A1010,B29,Transactions!$C$8:$C1010)*-1</f>
        <v>0</v>
      </c>
    </row>
    <row r="30" spans="1:7" ht="12.75">
      <c r="A30" s="14">
        <v>5842</v>
      </c>
      <c r="B30" s="26" t="s">
        <v>33</v>
      </c>
      <c r="C30" s="83"/>
      <c r="D30" s="84"/>
      <c r="E30" s="85"/>
      <c r="F30" s="44"/>
      <c r="G30" s="28">
        <f ca="1">SUMIF(Transactions!$A$8:$A1010,B30,Transactions!$C$8:$C1010)*-1</f>
        <v>0</v>
      </c>
    </row>
    <row r="31" spans="1:7" ht="12.75">
      <c r="A31" s="14">
        <v>4343</v>
      </c>
      <c r="B31" s="26" t="s">
        <v>34</v>
      </c>
      <c r="C31" s="80" t="s">
        <v>35</v>
      </c>
      <c r="D31" s="78"/>
      <c r="E31" s="79"/>
      <c r="F31" s="44">
        <v>1785.83</v>
      </c>
      <c r="G31" s="28">
        <f ca="1">SUMIF(Transactions!$A$8:$A1010,B31,Transactions!$C$8:$C1010)*-1</f>
        <v>0</v>
      </c>
    </row>
    <row r="32" spans="1:7" ht="12.75">
      <c r="A32" s="14">
        <v>2250</v>
      </c>
      <c r="B32" s="26" t="s">
        <v>36</v>
      </c>
      <c r="C32" s="80" t="s">
        <v>37</v>
      </c>
      <c r="D32" s="78"/>
      <c r="E32" s="79"/>
      <c r="F32" s="44">
        <v>100</v>
      </c>
      <c r="G32" s="28">
        <f ca="1">SUMIF(Transactions!$A$8:$A1010,B32,Transactions!$C$8:$C1010)*-1</f>
        <v>0</v>
      </c>
    </row>
    <row r="33" spans="1:7" ht="12.75">
      <c r="A33" s="14">
        <v>5843</v>
      </c>
      <c r="B33" s="26" t="s">
        <v>38</v>
      </c>
      <c r="C33" s="87" t="s">
        <v>39</v>
      </c>
      <c r="D33" s="78"/>
      <c r="E33" s="79"/>
      <c r="F33" s="44">
        <v>500</v>
      </c>
      <c r="G33" s="28">
        <f ca="1">SUMIF(Transactions!$A$8:$A1010,B33,Transactions!$C$8:$C1010)*-1</f>
        <v>0</v>
      </c>
    </row>
    <row r="34" spans="1:7" ht="12.75">
      <c r="A34" s="14">
        <v>5845</v>
      </c>
      <c r="B34" s="26" t="s">
        <v>40</v>
      </c>
      <c r="C34" s="80"/>
      <c r="D34" s="78"/>
      <c r="E34" s="79"/>
      <c r="F34" s="44"/>
      <c r="G34" s="28">
        <f ca="1">SUMIF(Transactions!$A$8:$A1010,B34,Transactions!$C$8:$C1010)*-1</f>
        <v>0</v>
      </c>
    </row>
    <row r="35" spans="1:7" ht="12.75">
      <c r="A35" s="14">
        <v>4345</v>
      </c>
      <c r="B35" s="26" t="s">
        <v>41</v>
      </c>
      <c r="C35" s="80"/>
      <c r="D35" s="78"/>
      <c r="E35" s="79"/>
      <c r="F35" s="44"/>
      <c r="G35" s="28">
        <f ca="1">SUMIF(Transactions!$A$8:$A1010,B35,Transactions!$C$8:$C1010)*-1</f>
        <v>0</v>
      </c>
    </row>
    <row r="36" spans="1:7" ht="12.75">
      <c r="A36" s="14">
        <v>4344</v>
      </c>
      <c r="B36" s="26" t="s">
        <v>42</v>
      </c>
      <c r="C36" s="87" t="s">
        <v>43</v>
      </c>
      <c r="D36" s="78"/>
      <c r="E36" s="79"/>
      <c r="F36" s="44">
        <v>380</v>
      </c>
      <c r="G36" s="28">
        <f ca="1">SUMIF(Transactions!$A$8:$A1010,B36,Transactions!$C$8:$C1010)*-1</f>
        <v>0</v>
      </c>
    </row>
    <row r="37" spans="1:7" ht="12.75">
      <c r="A37" s="14">
        <v>5844</v>
      </c>
      <c r="B37" s="26" t="s">
        <v>44</v>
      </c>
      <c r="C37" s="88">
        <v>0.04</v>
      </c>
      <c r="D37" s="78"/>
      <c r="E37" s="79"/>
      <c r="F37" s="22">
        <f>(F11+F13)*0.04</f>
        <v>240</v>
      </c>
      <c r="G37" s="29">
        <f ca="1">SUMIF(Transactions!A8:A1010,"Webstore Fees (Total)",Transactions!C8:C1010)*-1</f>
        <v>0</v>
      </c>
    </row>
    <row r="38" spans="1:7" ht="12.75">
      <c r="G38" s="30"/>
    </row>
    <row r="39" spans="1:7" ht="12.75">
      <c r="A39" s="31"/>
      <c r="B39" s="31"/>
      <c r="C39" s="81" t="s">
        <v>45</v>
      </c>
      <c r="D39" s="67"/>
      <c r="E39" s="67"/>
      <c r="F39" s="33">
        <f t="shared" ref="F39:G39" si="1">SUM(F23:F37)</f>
        <v>14273.33</v>
      </c>
      <c r="G39" s="34">
        <f t="shared" ca="1" si="1"/>
        <v>3972.9199999999996</v>
      </c>
    </row>
    <row r="40" spans="1:7" ht="12.75">
      <c r="G40" s="30"/>
    </row>
    <row r="41" spans="1:7" ht="12.75">
      <c r="A41" s="6">
        <v>7994</v>
      </c>
      <c r="B41" s="73" t="s">
        <v>46</v>
      </c>
      <c r="C41" s="67"/>
      <c r="D41" s="67"/>
      <c r="E41" s="67"/>
      <c r="F41" s="7">
        <f t="shared" ref="F41:G41" ca="1" si="2">F20-F39</f>
        <v>33.770000000000437</v>
      </c>
      <c r="G41" s="34">
        <f t="shared" ca="1" si="2"/>
        <v>-2257.8199999999997</v>
      </c>
    </row>
    <row r="43" spans="1:7" ht="12.75">
      <c r="A43" s="14"/>
      <c r="B43" s="14" t="s">
        <v>47</v>
      </c>
    </row>
    <row r="44" spans="1:7" ht="12.75">
      <c r="A44" s="14"/>
      <c r="B44" s="14" t="s">
        <v>48</v>
      </c>
      <c r="C44" s="14"/>
    </row>
    <row r="45" spans="1:7" ht="12.75">
      <c r="A45" s="14"/>
      <c r="B45" s="14" t="s">
        <v>49</v>
      </c>
      <c r="C45" s="45" t="str">
        <f ca="1">IF(OR(AND(G6&lt;0,F41&gt;=G6-0.2*G6),AND(G6&gt;=0,F41&gt;=0)),"Yes","No")</f>
        <v>Yes</v>
      </c>
    </row>
    <row r="47" spans="1:7" ht="12.75" hidden="1">
      <c r="B47" s="14" t="s">
        <v>50</v>
      </c>
    </row>
    <row r="48" spans="1:7" ht="12.75" hidden="1">
      <c r="B48" s="86" t="str">
        <f>"08-"&amp;"82"&amp;RIGHT(A1,2)&amp;"-"&amp;A2&amp;"-4200-"&amp;A1&amp;"-"&amp;A3&amp;"-"&amp;"0"&amp;RIGHT(A1,2)&amp;"-"</f>
        <v>08-8211-1333-4200-211-2-011-</v>
      </c>
      <c r="C48" s="67"/>
      <c r="D48" s="67"/>
      <c r="E48" s="67"/>
      <c r="F48" s="67"/>
      <c r="G48" s="67"/>
    </row>
    <row r="49" spans="2:2" ht="12.75">
      <c r="B49" s="14" t="s">
        <v>51</v>
      </c>
    </row>
    <row r="50" spans="2:2" ht="12.75">
      <c r="B50" s="14" t="s">
        <v>52</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53</v>
      </c>
      <c r="C1" s="46">
        <f ca="1">IFERROR(__xludf.DUMMYFUNCTION("importrange(""https://docs.google.com/spreadsheets/d/1uijBtfAfz56pDNy9cloUC_dVp0vgk5vaLaQJ2FY0cWE/edit?gid=0#gid=0"",""Date!A1"")"),45730)</f>
        <v>45730</v>
      </c>
      <c r="D1" s="47" t="str">
        <f>TEXT(Budget!A2,"####")</f>
        <v>1333</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1715.1</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54</v>
      </c>
      <c r="C4" s="52">
        <f ca="1">SUM(C9:C2517)-SUMIFS(C9:C2517,A9:A2517,"Subtotal")-SUMIFS(C9:C2517,B9:B2517,"Beginning Fund Balance")</f>
        <v>-3972.9199999999992</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55</v>
      </c>
      <c r="C6" s="54">
        <f ca="1">C3+C4</f>
        <v>-2257.8199999999993</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56</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IFERROR(__xludf.DUMMYFUNCTION("""COMPUTED_VALUE"""),"Coaching Stipends")</f>
        <v>Coaching Stipends</v>
      </c>
      <c r="C18" s="52">
        <f ca="1">IFERROR(__xludf.DUMMYFUNCTION("""COMPUTED_VALUE"""),-2402.91999999999)</f>
        <v>-2402.9199999999901</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IFERROR(__xludf.DUMMYFUNCTION("""COMPUTED_VALUE"""),"Coaching Stipends")</f>
        <v>Coaching Stipends</v>
      </c>
      <c r="B19" s="30" t="str">
        <f ca="1">IFERROR(__xludf.DUMMYFUNCTION("""COMPUTED_VALUE"""),"AHS SOFTBALL COACH SAL")</f>
        <v>AHS SOFTBALL COACH SAL</v>
      </c>
      <c r="C19" s="52">
        <f ca="1">IFERROR(__xludf.DUMMYFUNCTION("""COMPUTED_VALUE"""),-2000)</f>
        <v>-2000</v>
      </c>
      <c r="D19" s="55">
        <f ca="1">IFERROR(__xludf.DUMMYFUNCTION("""COMPUTED_VALUE"""),45604)</f>
        <v>45604</v>
      </c>
      <c r="E19" s="48"/>
      <c r="F19" s="49" t="str">
        <f ca="1">IFERROR(__xludf.DUMMYFUNCTION("""COMPUTED_VALUE"""),"WARRANT=25558 RUN=2 SUPPLEME")</f>
        <v>WARRANT=25558 RUN=2 SUPPLEME</v>
      </c>
      <c r="G19" s="56">
        <f ca="1">IFERROR(__xludf.DUMMYFUNCTION("""COMPUTED_VALUE"""),2180)</f>
        <v>2180</v>
      </c>
      <c r="H19" s="57" t="str">
        <f ca="1">IFERROR(__xludf.DUMMYFUNCTION("""COMPUTED_VALUE"""),"4200")</f>
        <v>4200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IFERROR(__xludf.DUMMYFUNCTION("""COMPUTED_VALUE"""),"Coaching Stipends")</f>
        <v>Coaching Stipends</v>
      </c>
      <c r="B20" s="30" t="str">
        <f ca="1">IFERROR(__xludf.DUMMYFUNCTION("""COMPUTED_VALUE"""),"AHS SOFTBALL COACH FICA")</f>
        <v>AHS SOFTBALL COACH FICA</v>
      </c>
      <c r="C20" s="48">
        <f ca="1">IFERROR(__xludf.DUMMYFUNCTION("""COMPUTED_VALUE"""),-153)</f>
        <v>-153</v>
      </c>
      <c r="D20" s="55">
        <f ca="1">IFERROR(__xludf.DUMMYFUNCTION("""COMPUTED_VALUE"""),45604)</f>
        <v>45604</v>
      </c>
      <c r="E20" s="48"/>
      <c r="F20" s="49" t="str">
        <f ca="1">IFERROR(__xludf.DUMMYFUNCTION("""COMPUTED_VALUE"""),"WARRANT=25558 RUN=2 SUPPLEME")</f>
        <v>WARRANT=25558 RUN=2 SUPPLEME</v>
      </c>
      <c r="G20" s="56">
        <f ca="1">IFERROR(__xludf.DUMMYFUNCTION("""COMPUTED_VALUE"""),3302)</f>
        <v>3302</v>
      </c>
      <c r="H20" s="57" t="str">
        <f ca="1">IFERROR(__xludf.DUMMYFUNCTION("""COMPUTED_VALUE"""),"4200")</f>
        <v>4200</v>
      </c>
      <c r="I20" s="30"/>
      <c r="J20" s="30"/>
      <c r="K20" s="30"/>
      <c r="L20" s="30"/>
      <c r="M20" s="30"/>
      <c r="N20" s="30"/>
      <c r="O20" s="30"/>
      <c r="P20" s="30"/>
      <c r="Q20" s="30"/>
      <c r="R20" s="30"/>
      <c r="S20" s="30"/>
      <c r="T20" s="30"/>
      <c r="U20" s="30"/>
      <c r="V20" s="30"/>
      <c r="W20" s="30"/>
      <c r="X20" s="30"/>
      <c r="Y20" s="30"/>
      <c r="Z20" s="30"/>
      <c r="AA20" s="30"/>
    </row>
    <row r="21" spans="1:27">
      <c r="A21" s="30" t="str">
        <f ca="1">IFERROR(__xludf.DUMMYFUNCTION("""COMPUTED_VALUE"""),"Coaching Stipends")</f>
        <v>Coaching Stipends</v>
      </c>
      <c r="B21" s="30" t="str">
        <f ca="1">IFERROR(__xludf.DUMMYFUNCTION("""COMPUTED_VALUE"""),"AHS SOFTBALL COACH SUI")</f>
        <v>AHS SOFTBALL COACH SUI</v>
      </c>
      <c r="C21" s="52">
        <f ca="1">IFERROR(__xludf.DUMMYFUNCTION("""COMPUTED_VALUE"""),-1)</f>
        <v>-1</v>
      </c>
      <c r="D21" s="55">
        <f ca="1">IFERROR(__xludf.DUMMYFUNCTION("""COMPUTED_VALUE"""),45604)</f>
        <v>45604</v>
      </c>
      <c r="E21" s="48"/>
      <c r="F21" s="49" t="str">
        <f ca="1">IFERROR(__xludf.DUMMYFUNCTION("""COMPUTED_VALUE"""),"WARRANT=25558 RUN=2 SUPPLEME")</f>
        <v>WARRANT=25558 RUN=2 SUPPLEME</v>
      </c>
      <c r="G21" s="56">
        <f ca="1">IFERROR(__xludf.DUMMYFUNCTION("""COMPUTED_VALUE"""),3502)</f>
        <v>3502</v>
      </c>
      <c r="H21" s="57" t="str">
        <f ca="1">IFERROR(__xludf.DUMMYFUNCTION("""COMPUTED_VALUE"""),"4200")</f>
        <v>4200</v>
      </c>
      <c r="I21" s="30"/>
      <c r="J21" s="30"/>
      <c r="K21" s="30"/>
      <c r="L21" s="30"/>
      <c r="M21" s="30"/>
      <c r="N21" s="30"/>
      <c r="O21" s="30"/>
      <c r="P21" s="30"/>
      <c r="Q21" s="30"/>
      <c r="R21" s="30"/>
      <c r="S21" s="30"/>
      <c r="T21" s="30"/>
      <c r="U21" s="30"/>
      <c r="V21" s="30"/>
      <c r="W21" s="30"/>
      <c r="X21" s="30"/>
      <c r="Y21" s="30"/>
      <c r="Z21" s="30"/>
      <c r="AA21" s="30"/>
    </row>
    <row r="22" spans="1:27">
      <c r="A22" s="30" t="str">
        <f ca="1">IFERROR(__xludf.DUMMYFUNCTION("""COMPUTED_VALUE"""),"Coaching Stipends")</f>
        <v>Coaching Stipends</v>
      </c>
      <c r="B22" s="30" t="str">
        <f ca="1">IFERROR(__xludf.DUMMYFUNCTION("""COMPUTED_VALUE"""),"AHS SOFTBALL COACH WC")</f>
        <v>AHS SOFTBALL COACH WC</v>
      </c>
      <c r="C22" s="52">
        <f ca="1">IFERROR(__xludf.DUMMYFUNCTION("""COMPUTED_VALUE"""),-30.47)</f>
        <v>-30.47</v>
      </c>
      <c r="D22" s="55">
        <f ca="1">IFERROR(__xludf.DUMMYFUNCTION("""COMPUTED_VALUE"""),45604)</f>
        <v>45604</v>
      </c>
      <c r="E22" s="48"/>
      <c r="F22" s="49" t="str">
        <f ca="1">IFERROR(__xludf.DUMMYFUNCTION("""COMPUTED_VALUE"""),"WARRANT=25558 RUN=2 SUPPLEME")</f>
        <v>WARRANT=25558 RUN=2 SUPPLEME</v>
      </c>
      <c r="G22" s="56">
        <f ca="1">IFERROR(__xludf.DUMMYFUNCTION("""COMPUTED_VALUE"""),3602)</f>
        <v>3602</v>
      </c>
      <c r="H22" s="57" t="str">
        <f ca="1">IFERROR(__xludf.DUMMYFUNCTION("""COMPUTED_VALUE"""),"4200")</f>
        <v>4200</v>
      </c>
      <c r="I22" s="30"/>
      <c r="J22" s="30"/>
      <c r="K22" s="30"/>
      <c r="L22" s="30"/>
      <c r="M22" s="30"/>
      <c r="N22" s="30"/>
      <c r="O22" s="30"/>
      <c r="P22" s="30"/>
      <c r="Q22" s="30"/>
      <c r="R22" s="30"/>
      <c r="S22" s="30"/>
      <c r="T22" s="30"/>
      <c r="U22" s="30"/>
      <c r="V22" s="30"/>
      <c r="W22" s="30"/>
      <c r="X22" s="30"/>
      <c r="Y22" s="30"/>
      <c r="Z22" s="30"/>
      <c r="AA22" s="30"/>
    </row>
    <row r="23" spans="1:27">
      <c r="A23" s="30" t="str">
        <f ca="1">IFERROR(__xludf.DUMMYFUNCTION("""COMPUTED_VALUE"""),"Coaching Stipends")</f>
        <v>Coaching Stipends</v>
      </c>
      <c r="B23" s="30" t="str">
        <f ca="1">IFERROR(__xludf.DUMMYFUNCTION("""COMPUTED_VALUE"""),"AHS SOFTBALL INDIRECT COST")</f>
        <v>AHS SOFTBALL INDIRECT COST</v>
      </c>
      <c r="C23" s="52">
        <f ca="1">IFERROR(__xludf.DUMMYFUNCTION("""COMPUTED_VALUE"""),-218.45)</f>
        <v>-218.45</v>
      </c>
      <c r="D23" s="55">
        <f ca="1">IFERROR(__xludf.DUMMYFUNCTION("""COMPUTED_VALUE"""),45649)</f>
        <v>45649</v>
      </c>
      <c r="E23" s="48"/>
      <c r="F23" s="49" t="str">
        <f ca="1">IFERROR(__xludf.DUMMYFUNCTION("""COMPUTED_VALUE"""),"AHS SOFTBALL 23-24 IND COST")</f>
        <v>AHS SOFTBALL 23-24 IND COST</v>
      </c>
      <c r="G23" s="56">
        <f ca="1">IFERROR(__xludf.DUMMYFUNCTION("""COMPUTED_VALUE"""),7350)</f>
        <v>7350</v>
      </c>
      <c r="H23" s="57" t="str">
        <f ca="1">IFERROR(__xludf.DUMMYFUNCTION("""COMPUTED_VALUE"""),"7210")</f>
        <v>7210</v>
      </c>
      <c r="I23" s="30"/>
      <c r="J23" s="30"/>
      <c r="K23" s="30"/>
      <c r="L23" s="30"/>
      <c r="M23" s="30"/>
      <c r="N23" s="30"/>
      <c r="O23" s="30"/>
      <c r="P23" s="30"/>
      <c r="Q23" s="30"/>
      <c r="R23" s="30"/>
      <c r="S23" s="30"/>
      <c r="T23" s="30"/>
      <c r="U23" s="30"/>
      <c r="V23" s="30"/>
      <c r="W23" s="30"/>
      <c r="X23" s="30"/>
      <c r="Y23" s="30"/>
      <c r="Z23" s="30"/>
      <c r="AA23" s="30"/>
    </row>
    <row r="24" spans="1:27">
      <c r="A24" s="30" t="str">
        <f ca="1">IFERROR(__xludf.DUMMYFUNCTION("""COMPUTED_VALUE""")," ")</f>
        <v xml:space="preserve"> </v>
      </c>
      <c r="B24" s="30" t="str">
        <f ca="1">IFERROR(__xludf.DUMMYFUNCTION("""COMPUTED_VALUE""")," ")</f>
        <v xml:space="preserve"> </v>
      </c>
      <c r="C24" s="52" t="str">
        <f ca="1">IFERROR(__xludf.DUMMYFUNCTION("""COMPUTED_VALUE""")," ")</f>
        <v xml:space="preserve"> </v>
      </c>
      <c r="D24" s="55" t="str">
        <f ca="1">IFERROR(__xludf.DUMMYFUNCTION("""COMPUTED_VALUE""")," ")</f>
        <v xml:space="preserve"> </v>
      </c>
      <c r="E24" s="48" t="str">
        <f ca="1">IFERROR(__xludf.DUMMYFUNCTION("""COMPUTED_VALUE""")," ")</f>
        <v xml:space="preserve"> </v>
      </c>
      <c r="F24" s="49" t="str">
        <f ca="1">IFERROR(__xludf.DUMMYFUNCTION("""COMPUTED_VALUE""")," ")</f>
        <v xml:space="preserve"> </v>
      </c>
      <c r="G24" s="56" t="str">
        <f ca="1">IFERROR(__xludf.DUMMYFUNCTION("""COMPUTED_VALUE""")," ")</f>
        <v xml:space="preserve"> </v>
      </c>
      <c r="H24" s="57" t="str">
        <f ca="1">IFERROR(__xludf.DUMMYFUNCTION("""COMPUTED_VALUE""")," ")</f>
        <v xml:space="preserve"> </v>
      </c>
      <c r="I24" s="30"/>
      <c r="J24" s="30"/>
      <c r="K24" s="30"/>
      <c r="L24" s="30"/>
      <c r="M24" s="30"/>
      <c r="N24" s="30"/>
      <c r="O24" s="30"/>
      <c r="P24" s="30"/>
      <c r="Q24" s="30"/>
      <c r="R24" s="30"/>
      <c r="S24" s="30"/>
      <c r="T24" s="30"/>
      <c r="U24" s="30"/>
      <c r="V24" s="30"/>
      <c r="W24" s="30"/>
      <c r="X24" s="30"/>
      <c r="Y24" s="30"/>
      <c r="Z24" s="30"/>
      <c r="AA24" s="30"/>
    </row>
    <row r="25" spans="1:27">
      <c r="A25" s="30" t="str">
        <f ca="1">IFERROR(__xludf.DUMMYFUNCTION("""COMPUTED_VALUE"""),"Subtotal")</f>
        <v>Subtotal</v>
      </c>
      <c r="B25" s="30" t="str">
        <f ca="1">IFERROR(__xludf.DUMMYFUNCTION("""COMPUTED_VALUE"""),"Donations")</f>
        <v>Donations</v>
      </c>
      <c r="C25" s="52">
        <f ca="1">IFERROR(__xludf.DUMMYFUNCTION("""COMPUTED_VALUE"""),0)</f>
        <v>0</v>
      </c>
      <c r="D25" s="55" t="str">
        <f ca="1">IFERROR(__xludf.DUMMYFUNCTION("""COMPUTED_VALUE""")," ")</f>
        <v xml:space="preserve"> </v>
      </c>
      <c r="E25" s="48" t="str">
        <f ca="1">IFERROR(__xludf.DUMMYFUNCTION("""COMPUTED_VALUE""")," ")</f>
        <v xml:space="preserve"> </v>
      </c>
      <c r="F25" s="49" t="str">
        <f ca="1">IFERROR(__xludf.DUMMYFUNCTION("""COMPUTED_VALUE""")," ")</f>
        <v xml:space="preserve"> </v>
      </c>
      <c r="G25" s="56" t="str">
        <f ca="1">IFERROR(__xludf.DUMMYFUNCTION("""COMPUTED_VALUE""")," ")</f>
        <v xml:space="preserve"> </v>
      </c>
      <c r="H25" s="57" t="str">
        <f ca="1">IFERROR(__xludf.DUMMYFUNCTION("""COMPUTED_VALUE""")," ")</f>
        <v xml:space="preserve"> </v>
      </c>
      <c r="I25" s="30"/>
      <c r="J25" s="30"/>
      <c r="K25" s="30"/>
      <c r="L25" s="30"/>
      <c r="M25" s="30"/>
      <c r="N25" s="30"/>
      <c r="O25" s="30"/>
      <c r="P25" s="30"/>
      <c r="Q25" s="30"/>
      <c r="R25" s="30"/>
      <c r="S25" s="30"/>
      <c r="T25" s="30"/>
      <c r="U25" s="30"/>
      <c r="V25" s="30"/>
      <c r="W25" s="30"/>
      <c r="X25" s="30"/>
      <c r="Y25" s="30"/>
      <c r="Z25" s="30"/>
      <c r="AA25" s="30"/>
    </row>
    <row r="26" spans="1:27">
      <c r="A26" s="30" t="str">
        <f ca="1">IFERROR(__xludf.DUMMYFUNCTION("""COMPUTED_VALUE"""),"Donations")</f>
        <v>Donations</v>
      </c>
      <c r="B26" s="30" t="str">
        <f ca="1">IFERROR(__xludf.DUMMYFUNCTION("""COMPUTED_VALUE"""),"AHS SOFTBALL DONATIONS")</f>
        <v>AHS SOFTBALL DONATIONS</v>
      </c>
      <c r="C26" s="52">
        <f ca="1">IFERROR(__xludf.DUMMYFUNCTION("""COMPUTED_VALUE"""),-8187.16)</f>
        <v>-8187.16</v>
      </c>
      <c r="D26" s="55">
        <f ca="1">IFERROR(__xludf.DUMMYFUNCTION("""COMPUTED_VALUE"""),45474)</f>
        <v>45474</v>
      </c>
      <c r="E26" s="48"/>
      <c r="F26" s="49" t="str">
        <f ca="1">IFERROR(__xludf.DUMMYFUNCTION("""COMPUTED_VALUE"""),"ACCR DONATION")</f>
        <v>ACCR DONATION</v>
      </c>
      <c r="G26" s="56">
        <f ca="1">IFERROR(__xludf.DUMMYFUNCTION("""COMPUTED_VALUE"""),8692)</f>
        <v>8692</v>
      </c>
      <c r="H26" s="57" t="str">
        <f ca="1">IFERROR(__xludf.DUMMYFUNCTION("""COMPUTED_VALUE"""),"0000")</f>
        <v>0000</v>
      </c>
      <c r="I26" s="30"/>
      <c r="J26" s="30"/>
      <c r="K26" s="30"/>
      <c r="L26" s="30"/>
      <c r="M26" s="30"/>
      <c r="N26" s="30"/>
      <c r="O26" s="30"/>
      <c r="P26" s="30"/>
      <c r="Q26" s="30"/>
      <c r="R26" s="30"/>
      <c r="S26" s="30"/>
      <c r="T26" s="30"/>
      <c r="U26" s="30"/>
      <c r="V26" s="30"/>
      <c r="W26" s="30"/>
      <c r="X26" s="30"/>
      <c r="Y26" s="30"/>
      <c r="Z26" s="30"/>
      <c r="AA26" s="30"/>
    </row>
    <row r="27" spans="1:27">
      <c r="A27" s="30" t="str">
        <f ca="1">IFERROR(__xludf.DUMMYFUNCTION("""COMPUTED_VALUE"""),"Donations")</f>
        <v>Donations</v>
      </c>
      <c r="B27" s="30" t="str">
        <f ca="1">IFERROR(__xludf.DUMMYFUNCTION("""COMPUTED_VALUE"""),"AHS SOFTBALL DONATIONS")</f>
        <v>AHS SOFTBALL DONATIONS</v>
      </c>
      <c r="C27" s="52">
        <f ca="1">IFERROR(__xludf.DUMMYFUNCTION("""COMPUTED_VALUE"""),8187.16)</f>
        <v>8187.16</v>
      </c>
      <c r="D27" s="55">
        <f ca="1">IFERROR(__xludf.DUMMYFUNCTION("""COMPUTED_VALUE"""),45512)</f>
        <v>45512</v>
      </c>
      <c r="E27" s="48" t="str">
        <f ca="1">IFERROR(__xludf.DUMMYFUNCTION("""COMPUTED_VALUE"""),"ACALANES BOOSTER CLUB")</f>
        <v>ACALANES BOOSTER CLUB</v>
      </c>
      <c r="F27" s="49" t="str">
        <f ca="1">IFERROR(__xludf.DUMMYFUNCTION("""COMPUTED_VALUE"""),"DONATION")</f>
        <v>DONATION</v>
      </c>
      <c r="G27" s="56">
        <f ca="1">IFERROR(__xludf.DUMMYFUNCTION("""COMPUTED_VALUE"""),8692)</f>
        <v>8692</v>
      </c>
      <c r="H27" s="57" t="str">
        <f ca="1">IFERROR(__xludf.DUMMYFUNCTION("""COMPUTED_VALUE"""),"0000")</f>
        <v>0000</v>
      </c>
      <c r="I27" s="30"/>
      <c r="J27" s="30"/>
      <c r="K27" s="30"/>
      <c r="L27" s="30"/>
      <c r="M27" s="30"/>
      <c r="N27" s="30"/>
      <c r="O27" s="30"/>
      <c r="P27" s="30"/>
      <c r="Q27" s="30"/>
      <c r="R27" s="30"/>
      <c r="S27" s="30"/>
      <c r="T27" s="30"/>
      <c r="U27" s="30"/>
      <c r="V27" s="30"/>
      <c r="W27" s="30"/>
      <c r="X27" s="30"/>
      <c r="Y27" s="30"/>
      <c r="Z27" s="30"/>
      <c r="AA27" s="30"/>
    </row>
    <row r="28" spans="1:27">
      <c r="A28" s="30" t="str">
        <f ca="1">IFERROR(__xludf.DUMMYFUNCTION("""COMPUTED_VALUE""")," ")</f>
        <v xml:space="preserve"> </v>
      </c>
      <c r="B28" s="30" t="str">
        <f ca="1">IFERROR(__xludf.DUMMYFUNCTION("""COMPUTED_VALUE""")," ")</f>
        <v xml:space="preserve"> </v>
      </c>
      <c r="C28" s="52" t="str">
        <f ca="1">IFERROR(__xludf.DUMMYFUNCTION("""COMPUTED_VALUE""")," ")</f>
        <v xml:space="preserve"> </v>
      </c>
      <c r="D28" s="55" t="str">
        <f ca="1">IFERROR(__xludf.DUMMYFUNCTION("""COMPUTED_VALUE""")," ")</f>
        <v xml:space="preserve"> </v>
      </c>
      <c r="E28" s="48" t="str">
        <f ca="1">IFERROR(__xludf.DUMMYFUNCTION("""COMPUTED_VALUE""")," ")</f>
        <v xml:space="preserve"> </v>
      </c>
      <c r="F28" s="49" t="str">
        <f ca="1">IFERROR(__xludf.DUMMYFUNCTION("""COMPUTED_VALUE""")," ")</f>
        <v xml:space="preserve"> </v>
      </c>
      <c r="G28" s="56" t="str">
        <f ca="1">IFERROR(__xludf.DUMMYFUNCTION("""COMPUTED_VALUE""")," ")</f>
        <v xml:space="preserve"> </v>
      </c>
      <c r="H28" s="57" t="str">
        <f ca="1">IFERROR(__xludf.DUMMYFUNCTION("""COMPUTED_VALUE""")," ")</f>
        <v xml:space="preserve"> </v>
      </c>
      <c r="I28" s="30"/>
      <c r="J28" s="30"/>
      <c r="K28" s="30"/>
      <c r="L28" s="30"/>
      <c r="M28" s="30"/>
      <c r="N28" s="30"/>
      <c r="O28" s="30"/>
      <c r="P28" s="30"/>
      <c r="Q28" s="30"/>
      <c r="R28" s="30"/>
      <c r="S28" s="30"/>
      <c r="T28" s="30"/>
      <c r="U28" s="30"/>
      <c r="V28" s="30"/>
      <c r="W28" s="30"/>
      <c r="X28" s="30"/>
      <c r="Y28" s="30"/>
      <c r="Z28" s="30"/>
      <c r="AA28" s="30"/>
    </row>
    <row r="29" spans="1:27">
      <c r="A29" s="30" t="str">
        <f ca="1">IFERROR(__xludf.DUMMYFUNCTION("""COMPUTED_VALUE"""),"Subtotal")</f>
        <v>Subtotal</v>
      </c>
      <c r="B29" s="30" t="str">
        <f ca="1">IFERROR(__xludf.DUMMYFUNCTION("""COMPUTED_VALUE"""),"Officials/Dues")</f>
        <v>Officials/Dues</v>
      </c>
      <c r="C29" s="48">
        <f ca="1">IFERROR(__xludf.DUMMYFUNCTION("""COMPUTED_VALUE"""),-1570)</f>
        <v>-1570</v>
      </c>
      <c r="D29" s="55" t="str">
        <f ca="1">IFERROR(__xludf.DUMMYFUNCTION("""COMPUTED_VALUE""")," ")</f>
        <v xml:space="preserve"> </v>
      </c>
      <c r="E29" s="48" t="str">
        <f ca="1">IFERROR(__xludf.DUMMYFUNCTION("""COMPUTED_VALUE""")," ")</f>
        <v xml:space="preserve"> </v>
      </c>
      <c r="F29" s="49" t="str">
        <f ca="1">IFERROR(__xludf.DUMMYFUNCTION("""COMPUTED_VALUE""")," ")</f>
        <v xml:space="preserve"> </v>
      </c>
      <c r="G29" s="56" t="str">
        <f ca="1">IFERROR(__xludf.DUMMYFUNCTION("""COMPUTED_VALUE""")," ")</f>
        <v xml:space="preserve"> </v>
      </c>
      <c r="H29" s="57" t="str">
        <f ca="1">IFERROR(__xludf.DUMMYFUNCTION("""COMPUTED_VALUE""")," ")</f>
        <v xml:space="preserve"> </v>
      </c>
      <c r="I29" s="30"/>
      <c r="J29" s="30"/>
      <c r="K29" s="30"/>
      <c r="L29" s="30"/>
      <c r="M29" s="30"/>
      <c r="N29" s="30"/>
      <c r="O29" s="30"/>
      <c r="P29" s="30"/>
      <c r="Q29" s="30"/>
      <c r="R29" s="30"/>
      <c r="S29" s="30"/>
      <c r="T29" s="30"/>
      <c r="U29" s="30"/>
      <c r="V29" s="30"/>
      <c r="W29" s="30"/>
      <c r="X29" s="30"/>
      <c r="Y29" s="30"/>
      <c r="Z29" s="30"/>
      <c r="AA29" s="30"/>
    </row>
    <row r="30" spans="1:27">
      <c r="A30" s="30" t="str">
        <f ca="1">IFERROR(__xludf.DUMMYFUNCTION("""COMPUTED_VALUE"""),"Officials/Dues")</f>
        <v>Officials/Dues</v>
      </c>
      <c r="B30" s="30" t="str">
        <f ca="1">IFERROR(__xludf.DUMMYFUNCTION("""COMPUTED_VALUE"""),"AHS SOFTBALL OFFICIALS")</f>
        <v>AHS SOFTBALL OFFICIALS</v>
      </c>
      <c r="C30" s="52">
        <f ca="1">IFERROR(__xludf.DUMMYFUNCTION("""COMPUTED_VALUE"""),-1570)</f>
        <v>-1570</v>
      </c>
      <c r="D30" s="55">
        <f ca="1">IFERROR(__xludf.DUMMYFUNCTION("""COMPUTED_VALUE"""),45665)</f>
        <v>45665</v>
      </c>
      <c r="E30" s="48" t="str">
        <f ca="1">IFERROR(__xludf.DUMMYFUNCTION("""COMPUTED_VALUE"""),"MID-COUNTY OFFICIALS NETWORK")</f>
        <v>MID-COUNTY OFFICIALS NETWORK</v>
      </c>
      <c r="F30" s="49" t="str">
        <f ca="1">IFERROR(__xludf.DUMMYFUNCTION("""COMPUTED_VALUE"""),"ACAMCOWJVVSB024S")</f>
        <v>ACAMCOWJVVSB024S</v>
      </c>
      <c r="G30" s="56">
        <f ca="1">IFERROR(__xludf.DUMMYFUNCTION("""COMPUTED_VALUE"""),5840)</f>
        <v>5840</v>
      </c>
      <c r="H30" s="57" t="str">
        <f ca="1">IFERROR(__xludf.DUMMYFUNCTION("""COMPUTED_VALUE"""),"4200")</f>
        <v>4200</v>
      </c>
      <c r="I30" s="30"/>
      <c r="J30" s="30"/>
      <c r="K30" s="30"/>
      <c r="L30" s="30"/>
      <c r="M30" s="30"/>
      <c r="N30" s="30"/>
      <c r="O30" s="30"/>
      <c r="P30" s="30"/>
      <c r="Q30" s="30"/>
      <c r="R30" s="30"/>
      <c r="S30" s="30"/>
      <c r="T30" s="30"/>
      <c r="U30" s="30"/>
      <c r="V30" s="30"/>
      <c r="W30" s="30"/>
      <c r="X30" s="30"/>
      <c r="Y30" s="30"/>
      <c r="Z30" s="30"/>
      <c r="AA30" s="30"/>
    </row>
    <row r="31" spans="1:27">
      <c r="A31" s="30"/>
      <c r="B31" s="30"/>
      <c r="C31" s="52"/>
      <c r="D31" s="55"/>
      <c r="E31" s="48"/>
      <c r="F31" s="49"/>
      <c r="G31" s="56"/>
      <c r="H31" s="57"/>
      <c r="I31" s="30"/>
      <c r="J31" s="30"/>
      <c r="K31" s="30"/>
      <c r="L31" s="30"/>
      <c r="M31" s="30"/>
      <c r="N31" s="30"/>
      <c r="O31" s="30"/>
      <c r="P31" s="30"/>
      <c r="Q31" s="30"/>
      <c r="R31" s="30"/>
      <c r="S31" s="30"/>
      <c r="T31" s="30"/>
      <c r="U31" s="30"/>
      <c r="V31" s="30"/>
      <c r="W31" s="30"/>
      <c r="X31" s="30"/>
      <c r="Y31" s="30"/>
      <c r="Z31" s="30"/>
      <c r="AA31" s="30"/>
    </row>
    <row r="32" spans="1:27">
      <c r="A32" s="30"/>
      <c r="B32" s="30"/>
      <c r="C32" s="48"/>
      <c r="D32" s="55"/>
      <c r="E32" s="48"/>
      <c r="F32" s="49"/>
      <c r="G32" s="56"/>
      <c r="H32" s="57"/>
      <c r="I32" s="30"/>
      <c r="J32" s="30"/>
      <c r="K32" s="30"/>
      <c r="L32" s="30"/>
      <c r="M32" s="30"/>
      <c r="N32" s="30"/>
      <c r="O32" s="30"/>
      <c r="P32" s="30"/>
      <c r="Q32" s="30"/>
      <c r="R32" s="30"/>
      <c r="S32" s="30"/>
      <c r="T32" s="30"/>
      <c r="U32" s="30"/>
      <c r="V32" s="30"/>
      <c r="W32" s="30"/>
      <c r="X32" s="30"/>
      <c r="Y32" s="30"/>
      <c r="Z32" s="30"/>
      <c r="AA32" s="30"/>
    </row>
    <row r="33" spans="1:27">
      <c r="A33" s="30"/>
      <c r="B33" s="30"/>
      <c r="C33" s="52"/>
      <c r="D33" s="55"/>
      <c r="E33" s="48"/>
      <c r="F33" s="49"/>
      <c r="G33" s="56"/>
      <c r="H33" s="57"/>
      <c r="I33" s="30"/>
      <c r="J33" s="30"/>
      <c r="K33" s="30"/>
      <c r="L33" s="30"/>
      <c r="M33" s="30"/>
      <c r="N33" s="30"/>
      <c r="O33" s="30"/>
      <c r="P33" s="30"/>
      <c r="Q33" s="30"/>
      <c r="R33" s="30"/>
      <c r="S33" s="30"/>
      <c r="T33" s="30"/>
      <c r="U33" s="30"/>
      <c r="V33" s="30"/>
      <c r="W33" s="30"/>
      <c r="X33" s="30"/>
      <c r="Y33" s="30"/>
      <c r="Z33" s="30"/>
      <c r="AA33" s="30"/>
    </row>
    <row r="34" spans="1:27">
      <c r="A34" s="30"/>
      <c r="B34" s="30"/>
      <c r="C34" s="52"/>
      <c r="D34" s="55"/>
      <c r="E34" s="48"/>
      <c r="F34" s="49"/>
      <c r="G34" s="56"/>
      <c r="H34" s="57"/>
      <c r="I34" s="30"/>
      <c r="J34" s="30"/>
      <c r="K34" s="30"/>
      <c r="L34" s="30"/>
      <c r="M34" s="30"/>
      <c r="N34" s="30"/>
      <c r="O34" s="30"/>
      <c r="P34" s="30"/>
      <c r="Q34" s="30"/>
      <c r="R34" s="30"/>
      <c r="S34" s="30"/>
      <c r="T34" s="30"/>
      <c r="U34" s="30"/>
      <c r="V34" s="30"/>
      <c r="W34" s="30"/>
      <c r="X34" s="30"/>
      <c r="Y34" s="30"/>
      <c r="Z34" s="30"/>
      <c r="AA34" s="30"/>
    </row>
    <row r="35" spans="1:27">
      <c r="A35" s="30"/>
      <c r="B35" s="30"/>
      <c r="C35" s="52"/>
      <c r="D35" s="55"/>
      <c r="E35" s="48"/>
      <c r="F35" s="49"/>
      <c r="G35" s="56"/>
      <c r="H35" s="57"/>
      <c r="I35" s="30"/>
      <c r="J35" s="30"/>
      <c r="K35" s="30"/>
      <c r="L35" s="30"/>
      <c r="M35" s="30"/>
      <c r="N35" s="30"/>
      <c r="O35" s="30"/>
      <c r="P35" s="30"/>
      <c r="Q35" s="30"/>
      <c r="R35" s="30"/>
      <c r="S35" s="30"/>
      <c r="T35" s="30"/>
      <c r="U35" s="30"/>
      <c r="V35" s="30"/>
      <c r="W35" s="30"/>
      <c r="X35" s="30"/>
      <c r="Y35" s="30"/>
      <c r="Z35" s="30"/>
      <c r="AA35" s="30"/>
    </row>
    <row r="36" spans="1:27">
      <c r="A36" s="30"/>
      <c r="B36" s="30"/>
      <c r="C36" s="52"/>
      <c r="D36" s="55"/>
      <c r="E36" s="48"/>
      <c r="F36" s="49"/>
      <c r="G36" s="56"/>
      <c r="H36" s="57"/>
      <c r="I36" s="30"/>
      <c r="J36" s="30"/>
      <c r="K36" s="30"/>
      <c r="L36" s="30"/>
      <c r="M36" s="30"/>
      <c r="N36" s="30"/>
      <c r="O36" s="30"/>
      <c r="P36" s="30"/>
      <c r="Q36" s="30"/>
      <c r="R36" s="30"/>
      <c r="S36" s="30"/>
      <c r="T36" s="30"/>
      <c r="U36" s="30"/>
      <c r="V36" s="30"/>
      <c r="W36" s="30"/>
      <c r="X36" s="30"/>
      <c r="Y36" s="30"/>
      <c r="Z36" s="30"/>
      <c r="AA36" s="30"/>
    </row>
    <row r="37" spans="1:27">
      <c r="A37" s="30"/>
      <c r="B37" s="30"/>
      <c r="C37" s="52"/>
      <c r="D37" s="55"/>
      <c r="E37" s="48"/>
      <c r="F37" s="49"/>
      <c r="G37" s="56"/>
      <c r="H37" s="57"/>
      <c r="I37" s="30"/>
      <c r="J37" s="30"/>
      <c r="K37" s="30"/>
      <c r="L37" s="30"/>
      <c r="M37" s="30"/>
      <c r="N37" s="30"/>
      <c r="O37" s="30"/>
      <c r="P37" s="30"/>
      <c r="Q37" s="30"/>
      <c r="R37" s="30"/>
      <c r="S37" s="30"/>
      <c r="T37" s="30"/>
      <c r="U37" s="30"/>
      <c r="V37" s="30"/>
      <c r="W37" s="30"/>
      <c r="X37" s="30"/>
      <c r="Y37" s="30"/>
      <c r="Z37" s="30"/>
      <c r="AA37" s="30"/>
    </row>
    <row r="38" spans="1:27">
      <c r="A38" s="30"/>
      <c r="B38" s="30"/>
      <c r="C38" s="48"/>
      <c r="D38" s="55"/>
      <c r="E38" s="48"/>
      <c r="F38" s="49"/>
      <c r="G38" s="56"/>
      <c r="H38" s="57"/>
      <c r="I38" s="30"/>
      <c r="J38" s="30"/>
      <c r="K38" s="30"/>
      <c r="L38" s="30"/>
      <c r="M38" s="30"/>
      <c r="N38" s="30"/>
      <c r="O38" s="30"/>
      <c r="P38" s="30"/>
      <c r="Q38" s="30"/>
      <c r="R38" s="30"/>
      <c r="S38" s="30"/>
      <c r="T38" s="30"/>
      <c r="U38" s="30"/>
      <c r="V38" s="30"/>
      <c r="W38" s="30"/>
      <c r="X38" s="30"/>
      <c r="Y38" s="30"/>
      <c r="Z38" s="30"/>
      <c r="AA38" s="30"/>
    </row>
    <row r="39" spans="1:27">
      <c r="A39" s="30"/>
      <c r="B39" s="30"/>
      <c r="C39" s="52"/>
      <c r="D39" s="55"/>
      <c r="E39" s="48"/>
      <c r="F39" s="49"/>
      <c r="G39" s="56"/>
      <c r="H39" s="57"/>
      <c r="I39" s="30"/>
      <c r="J39" s="30"/>
      <c r="K39" s="30"/>
      <c r="L39" s="30"/>
      <c r="M39" s="30"/>
      <c r="N39" s="30"/>
      <c r="O39" s="30"/>
      <c r="P39" s="30"/>
      <c r="Q39" s="30"/>
      <c r="R39" s="30"/>
      <c r="S39" s="30"/>
      <c r="T39" s="30"/>
      <c r="U39" s="30"/>
      <c r="V39" s="30"/>
      <c r="W39" s="30"/>
      <c r="X39" s="30"/>
      <c r="Y39" s="30"/>
      <c r="Z39" s="30"/>
      <c r="AA39" s="30"/>
    </row>
    <row r="40" spans="1:27">
      <c r="A40" s="30"/>
      <c r="B40" s="30"/>
      <c r="C40" s="52"/>
      <c r="D40" s="55"/>
      <c r="E40" s="48"/>
      <c r="F40" s="49"/>
      <c r="G40" s="56"/>
      <c r="H40" s="57"/>
      <c r="I40" s="30"/>
      <c r="J40" s="30"/>
      <c r="K40" s="30"/>
      <c r="L40" s="30"/>
      <c r="M40" s="30"/>
      <c r="N40" s="30"/>
      <c r="O40" s="30"/>
      <c r="P40" s="30"/>
      <c r="Q40" s="30"/>
      <c r="R40" s="30"/>
      <c r="S40" s="30"/>
      <c r="T40" s="30"/>
      <c r="U40" s="30"/>
      <c r="V40" s="30"/>
      <c r="W40" s="30"/>
      <c r="X40" s="30"/>
      <c r="Y40" s="30"/>
      <c r="Z40" s="30"/>
      <c r="AA40" s="30"/>
    </row>
    <row r="41" spans="1:27">
      <c r="A41" s="30"/>
      <c r="B41" s="30"/>
      <c r="C41" s="48"/>
      <c r="D41" s="55"/>
      <c r="E41" s="48"/>
      <c r="F41" s="49"/>
      <c r="G41" s="56"/>
      <c r="H41" s="57"/>
      <c r="I41" s="30"/>
      <c r="J41" s="30"/>
      <c r="K41" s="30"/>
      <c r="L41" s="30"/>
      <c r="M41" s="30"/>
      <c r="N41" s="30"/>
      <c r="O41" s="30"/>
      <c r="P41" s="30"/>
      <c r="Q41" s="30"/>
      <c r="R41" s="30"/>
      <c r="S41" s="30"/>
      <c r="T41" s="30"/>
      <c r="U41" s="30"/>
      <c r="V41" s="30"/>
      <c r="W41" s="30"/>
      <c r="X41" s="30"/>
      <c r="Y41" s="30"/>
      <c r="Z41" s="30"/>
      <c r="AA41" s="30"/>
    </row>
    <row r="42" spans="1:27">
      <c r="A42" s="30"/>
      <c r="B42" s="30"/>
      <c r="C42" s="52"/>
      <c r="D42" s="55"/>
      <c r="E42" s="48"/>
      <c r="F42" s="49"/>
      <c r="G42" s="56"/>
      <c r="H42" s="57"/>
      <c r="I42" s="30"/>
      <c r="J42" s="30"/>
      <c r="K42" s="30"/>
      <c r="L42" s="30"/>
      <c r="M42" s="30"/>
      <c r="N42" s="30"/>
      <c r="O42" s="30"/>
      <c r="P42" s="30"/>
      <c r="Q42" s="30"/>
      <c r="R42" s="30"/>
      <c r="S42" s="30"/>
      <c r="T42" s="30"/>
      <c r="U42" s="30"/>
      <c r="V42" s="30"/>
      <c r="W42" s="30"/>
      <c r="X42" s="30"/>
      <c r="Y42" s="30"/>
      <c r="Z42" s="30"/>
      <c r="AA42" s="30"/>
    </row>
    <row r="43" spans="1:27">
      <c r="A43" s="30"/>
      <c r="B43" s="30"/>
      <c r="C43" s="52"/>
      <c r="D43" s="55"/>
      <c r="E43" s="48"/>
      <c r="F43" s="49"/>
      <c r="G43" s="56"/>
      <c r="H43" s="57"/>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57</v>
      </c>
      <c r="B2" s="30" t="s">
        <v>44</v>
      </c>
      <c r="C2" s="57">
        <f ca="1">-0.04*SUMIF(A4:A2502,"Contributions",C4:C2502)</f>
        <v>0</v>
      </c>
      <c r="D2" s="30"/>
      <c r="E2" s="30" t="s">
        <v>58</v>
      </c>
      <c r="F2" s="30"/>
      <c r="G2" s="57">
        <v>5844</v>
      </c>
      <c r="H2" s="57">
        <v>4200</v>
      </c>
      <c r="I2" s="30"/>
      <c r="J2" s="30"/>
      <c r="K2" s="30"/>
      <c r="L2" s="48"/>
      <c r="M2" s="49"/>
      <c r="N2" s="30"/>
      <c r="O2" s="30"/>
      <c r="P2" s="30"/>
      <c r="Q2" s="30"/>
      <c r="R2" s="30"/>
      <c r="S2" s="30"/>
      <c r="T2" s="30"/>
      <c r="U2" s="30"/>
      <c r="V2" s="30"/>
      <c r="W2" s="30"/>
      <c r="X2" s="30"/>
      <c r="Y2" s="30"/>
      <c r="Z2" s="30"/>
    </row>
    <row r="3" spans="1:26">
      <c r="A3" s="30" t="s">
        <v>59</v>
      </c>
      <c r="B3" s="30" t="s">
        <v>44</v>
      </c>
      <c r="C3" s="57">
        <f ca="1">-1*C2</f>
        <v>0</v>
      </c>
      <c r="D3" s="30"/>
      <c r="E3" s="30"/>
      <c r="F3" s="30" t="s">
        <v>60</v>
      </c>
      <c r="G3" s="57">
        <v>8699</v>
      </c>
      <c r="H3" s="50" t="s">
        <v>61</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asc"",0)"),"Coaching Stipends")</f>
        <v>Coaching Stipends</v>
      </c>
      <c r="B4" s="30" t="str">
        <f ca="1">IFERROR(__xludf.DUMMYFUNCTION("""COMPUTED_VALUE"""),"AHS SOFTBALL COACH SAL")</f>
        <v>AHS SOFTBALL COACH SAL</v>
      </c>
      <c r="C4" s="57">
        <f ca="1">IFERROR(__xludf.DUMMYFUNCTION("""COMPUTED_VALUE"""),-2000)</f>
        <v>-2000</v>
      </c>
      <c r="D4" s="58">
        <f ca="1">IFERROR(__xludf.DUMMYFUNCTION("""COMPUTED_VALUE"""),45604)</f>
        <v>45604</v>
      </c>
      <c r="E4" s="30"/>
      <c r="F4" s="30" t="str">
        <f ca="1">IFERROR(__xludf.DUMMYFUNCTION("""COMPUTED_VALUE"""),"WARRANT=25558 RUN=2 SUPPLEME")</f>
        <v>WARRANT=25558 RUN=2 SUPPLEME</v>
      </c>
      <c r="G4" s="57">
        <f ca="1">IFERROR(__xludf.DUMMYFUNCTION("""COMPUTED_VALUE"""),2180)</f>
        <v>2180</v>
      </c>
      <c r="H4" s="30" t="str">
        <f ca="1">IFERROR(__xludf.DUMMYFUNCTION("""COMPUTED_VALUE"""),"4200")</f>
        <v>4200</v>
      </c>
      <c r="I4" s="30"/>
      <c r="J4" s="30"/>
      <c r="K4" s="30"/>
      <c r="L4" s="48"/>
      <c r="M4" s="49"/>
      <c r="N4" s="30"/>
      <c r="O4" s="30"/>
      <c r="P4" s="30"/>
      <c r="Q4" s="30"/>
      <c r="R4" s="30"/>
      <c r="S4" s="30"/>
      <c r="T4" s="30"/>
      <c r="U4" s="30"/>
      <c r="V4" s="30"/>
      <c r="W4" s="30"/>
      <c r="X4" s="30"/>
      <c r="Y4" s="30"/>
      <c r="Z4" s="30"/>
    </row>
    <row r="5" spans="1:26">
      <c r="A5" s="30" t="str">
        <f ca="1">IFERROR(__xludf.DUMMYFUNCTION("""COMPUTED_VALUE"""),"Coaching Stipends")</f>
        <v>Coaching Stipends</v>
      </c>
      <c r="B5" s="30" t="str">
        <f ca="1">IFERROR(__xludf.DUMMYFUNCTION("""COMPUTED_VALUE"""),"AHS SOFTBALL COACH FICA")</f>
        <v>AHS SOFTBALL COACH FICA</v>
      </c>
      <c r="C5" s="57">
        <f ca="1">IFERROR(__xludf.DUMMYFUNCTION("""COMPUTED_VALUE"""),-153)</f>
        <v>-153</v>
      </c>
      <c r="D5" s="58">
        <f ca="1">IFERROR(__xludf.DUMMYFUNCTION("""COMPUTED_VALUE"""),45604)</f>
        <v>45604</v>
      </c>
      <c r="E5" s="30"/>
      <c r="F5" s="30" t="str">
        <f ca="1">IFERROR(__xludf.DUMMYFUNCTION("""COMPUTED_VALUE"""),"WARRANT=25558 RUN=2 SUPPLEME")</f>
        <v>WARRANT=25558 RUN=2 SUPPLEME</v>
      </c>
      <c r="G5" s="57">
        <f ca="1">IFERROR(__xludf.DUMMYFUNCTION("""COMPUTED_VALUE"""),3302)</f>
        <v>3302</v>
      </c>
      <c r="H5" s="30" t="str">
        <f ca="1">IFERROR(__xludf.DUMMYFUNCTION("""COMPUTED_VALUE"""),"4200")</f>
        <v>4200</v>
      </c>
      <c r="I5" s="30"/>
      <c r="J5" s="30"/>
      <c r="K5" s="30"/>
      <c r="L5" s="48"/>
      <c r="M5" s="49"/>
      <c r="N5" s="30"/>
      <c r="O5" s="30"/>
      <c r="P5" s="30"/>
      <c r="Q5" s="30"/>
      <c r="R5" s="30"/>
      <c r="S5" s="30"/>
      <c r="T5" s="30"/>
      <c r="U5" s="30"/>
      <c r="V5" s="30"/>
      <c r="W5" s="30"/>
      <c r="X5" s="30"/>
      <c r="Y5" s="30"/>
      <c r="Z5" s="30"/>
    </row>
    <row r="6" spans="1:26">
      <c r="A6" s="30" t="str">
        <f ca="1">IFERROR(__xludf.DUMMYFUNCTION("""COMPUTED_VALUE"""),"Coaching Stipends")</f>
        <v>Coaching Stipends</v>
      </c>
      <c r="B6" s="30" t="str">
        <f ca="1">IFERROR(__xludf.DUMMYFUNCTION("""COMPUTED_VALUE"""),"AHS SOFTBALL COACH SUI")</f>
        <v>AHS SOFTBALL COACH SUI</v>
      </c>
      <c r="C6" s="57">
        <f ca="1">IFERROR(__xludf.DUMMYFUNCTION("""COMPUTED_VALUE"""),-1)</f>
        <v>-1</v>
      </c>
      <c r="D6" s="58">
        <f ca="1">IFERROR(__xludf.DUMMYFUNCTION("""COMPUTED_VALUE"""),45604)</f>
        <v>45604</v>
      </c>
      <c r="E6" s="30"/>
      <c r="F6" s="30" t="str">
        <f ca="1">IFERROR(__xludf.DUMMYFUNCTION("""COMPUTED_VALUE"""),"WARRANT=25558 RUN=2 SUPPLEME")</f>
        <v>WARRANT=25558 RUN=2 SUPPLEME</v>
      </c>
      <c r="G6" s="57">
        <f ca="1">IFERROR(__xludf.DUMMYFUNCTION("""COMPUTED_VALUE"""),3502)</f>
        <v>3502</v>
      </c>
      <c r="H6" s="30" t="str">
        <f ca="1">IFERROR(__xludf.DUMMYFUNCTION("""COMPUTED_VALUE"""),"4200")</f>
        <v>4200</v>
      </c>
      <c r="I6" s="30"/>
      <c r="J6" s="30"/>
      <c r="K6" s="30"/>
      <c r="L6" s="48"/>
      <c r="M6" s="49"/>
      <c r="N6" s="30"/>
      <c r="O6" s="30"/>
      <c r="P6" s="30"/>
      <c r="Q6" s="30"/>
      <c r="R6" s="30"/>
      <c r="S6" s="30"/>
      <c r="T6" s="30"/>
      <c r="U6" s="30"/>
      <c r="V6" s="30"/>
      <c r="W6" s="30"/>
      <c r="X6" s="30"/>
      <c r="Y6" s="30"/>
      <c r="Z6" s="30"/>
    </row>
    <row r="7" spans="1:26">
      <c r="A7" s="30" t="str">
        <f ca="1">IFERROR(__xludf.DUMMYFUNCTION("""COMPUTED_VALUE"""),"Coaching Stipends")</f>
        <v>Coaching Stipends</v>
      </c>
      <c r="B7" s="30" t="str">
        <f ca="1">IFERROR(__xludf.DUMMYFUNCTION("""COMPUTED_VALUE"""),"AHS SOFTBALL COACH WC")</f>
        <v>AHS SOFTBALL COACH WC</v>
      </c>
      <c r="C7" s="57">
        <f ca="1">IFERROR(__xludf.DUMMYFUNCTION("""COMPUTED_VALUE"""),-30.47)</f>
        <v>-30.47</v>
      </c>
      <c r="D7" s="58">
        <f ca="1">IFERROR(__xludf.DUMMYFUNCTION("""COMPUTED_VALUE"""),45604)</f>
        <v>45604</v>
      </c>
      <c r="E7" s="30"/>
      <c r="F7" s="30" t="str">
        <f ca="1">IFERROR(__xludf.DUMMYFUNCTION("""COMPUTED_VALUE"""),"WARRANT=25558 RUN=2 SUPPLEME")</f>
        <v>WARRANT=25558 RUN=2 SUPPLEME</v>
      </c>
      <c r="G7" s="57">
        <f ca="1">IFERROR(__xludf.DUMMYFUNCTION("""COMPUTED_VALUE"""),3602)</f>
        <v>3602</v>
      </c>
      <c r="H7" s="30" t="str">
        <f ca="1">IFERROR(__xludf.DUMMYFUNCTION("""COMPUTED_VALUE"""),"4200")</f>
        <v>4200</v>
      </c>
      <c r="I7" s="30"/>
      <c r="J7" s="30"/>
      <c r="K7" s="30"/>
      <c r="L7" s="48"/>
      <c r="M7" s="49"/>
      <c r="N7" s="30"/>
      <c r="O7" s="30"/>
      <c r="P7" s="30"/>
      <c r="Q7" s="30"/>
      <c r="R7" s="30"/>
      <c r="S7" s="30"/>
      <c r="T7" s="30"/>
      <c r="U7" s="30"/>
      <c r="V7" s="30"/>
      <c r="W7" s="30"/>
      <c r="X7" s="30"/>
      <c r="Y7" s="30"/>
      <c r="Z7" s="30"/>
    </row>
    <row r="8" spans="1:26">
      <c r="A8" s="30" t="str">
        <f ca="1">IFERROR(__xludf.DUMMYFUNCTION("""COMPUTED_VALUE"""),"Coaching Stipends")</f>
        <v>Coaching Stipends</v>
      </c>
      <c r="B8" s="30" t="str">
        <f ca="1">IFERROR(__xludf.DUMMYFUNCTION("""COMPUTED_VALUE"""),"AHS SOFTBALL INDIRECT COST")</f>
        <v>AHS SOFTBALL INDIRECT COST</v>
      </c>
      <c r="C8" s="57">
        <f ca="1">IFERROR(__xludf.DUMMYFUNCTION("""COMPUTED_VALUE"""),-218.45)</f>
        <v>-218.45</v>
      </c>
      <c r="D8" s="58">
        <f ca="1">IFERROR(__xludf.DUMMYFUNCTION("""COMPUTED_VALUE"""),45649)</f>
        <v>45649</v>
      </c>
      <c r="E8" s="30"/>
      <c r="F8" s="30" t="str">
        <f ca="1">IFERROR(__xludf.DUMMYFUNCTION("""COMPUTED_VALUE"""),"AHS SOFTBALL 23-24 IND COST")</f>
        <v>AHS SOFTBALL 23-24 IND COST</v>
      </c>
      <c r="G8" s="57">
        <f ca="1">IFERROR(__xludf.DUMMYFUNCTION("""COMPUTED_VALUE"""),7350)</f>
        <v>7350</v>
      </c>
      <c r="H8" s="30" t="str">
        <f ca="1">IFERROR(__xludf.DUMMYFUNCTION("""COMPUTED_VALUE"""),"7210")</f>
        <v>7210</v>
      </c>
      <c r="I8" s="30"/>
      <c r="J8" s="30"/>
      <c r="K8" s="30"/>
      <c r="L8" s="48"/>
      <c r="M8" s="49"/>
      <c r="N8" s="30"/>
      <c r="O8" s="30"/>
      <c r="P8" s="30"/>
      <c r="Q8" s="30"/>
      <c r="R8" s="30"/>
      <c r="S8" s="30"/>
      <c r="T8" s="30"/>
      <c r="U8" s="30"/>
      <c r="V8" s="30"/>
      <c r="W8" s="30"/>
      <c r="X8" s="30"/>
      <c r="Y8" s="30"/>
      <c r="Z8" s="30"/>
    </row>
    <row r="9" spans="1:26">
      <c r="A9" s="30" t="str">
        <f ca="1">IFERROR(__xludf.DUMMYFUNCTION("""COMPUTED_VALUE"""),"Donations")</f>
        <v>Donations</v>
      </c>
      <c r="B9" s="30" t="str">
        <f ca="1">IFERROR(__xludf.DUMMYFUNCTION("""COMPUTED_VALUE"""),"AHS SOFTBALL DONATIONS")</f>
        <v>AHS SOFTBALL DONATIONS</v>
      </c>
      <c r="C9" s="57">
        <f ca="1">IFERROR(__xludf.DUMMYFUNCTION("""COMPUTED_VALUE"""),-8187.16)</f>
        <v>-8187.16</v>
      </c>
      <c r="D9" s="58">
        <f ca="1">IFERROR(__xludf.DUMMYFUNCTION("""COMPUTED_VALUE"""),45474)</f>
        <v>45474</v>
      </c>
      <c r="E9" s="30"/>
      <c r="F9" s="30" t="str">
        <f ca="1">IFERROR(__xludf.DUMMYFUNCTION("""COMPUTED_VALUE"""),"ACCR DONATION")</f>
        <v>ACCR DONATION</v>
      </c>
      <c r="G9" s="57">
        <f ca="1">IFERROR(__xludf.DUMMYFUNCTION("""COMPUTED_VALUE"""),8692)</f>
        <v>8692</v>
      </c>
      <c r="H9" s="30" t="str">
        <f ca="1">IFERROR(__xludf.DUMMYFUNCTION("""COMPUTED_VALUE"""),"0000")</f>
        <v>0000</v>
      </c>
      <c r="I9" s="30"/>
      <c r="J9" s="30"/>
      <c r="K9" s="30"/>
      <c r="L9" s="48"/>
      <c r="M9" s="49"/>
      <c r="N9" s="30"/>
      <c r="O9" s="30"/>
      <c r="P9" s="30"/>
      <c r="Q9" s="30"/>
      <c r="R9" s="30"/>
      <c r="S9" s="30"/>
      <c r="T9" s="30"/>
      <c r="U9" s="30"/>
      <c r="V9" s="30"/>
      <c r="W9" s="30"/>
      <c r="X9" s="30"/>
      <c r="Y9" s="30"/>
      <c r="Z9" s="30"/>
    </row>
    <row r="10" spans="1:26">
      <c r="A10" s="30" t="str">
        <f ca="1">IFERROR(__xludf.DUMMYFUNCTION("""COMPUTED_VALUE"""),"Donations")</f>
        <v>Donations</v>
      </c>
      <c r="B10" s="30" t="str">
        <f ca="1">IFERROR(__xludf.DUMMYFUNCTION("""COMPUTED_VALUE"""),"AHS SOFTBALL DONATIONS")</f>
        <v>AHS SOFTBALL DONATIONS</v>
      </c>
      <c r="C10" s="57">
        <f ca="1">IFERROR(__xludf.DUMMYFUNCTION("""COMPUTED_VALUE"""),8187.16)</f>
        <v>8187.16</v>
      </c>
      <c r="D10" s="58">
        <f ca="1">IFERROR(__xludf.DUMMYFUNCTION("""COMPUTED_VALUE"""),45512)</f>
        <v>45512</v>
      </c>
      <c r="E10" s="30" t="str">
        <f ca="1">IFERROR(__xludf.DUMMYFUNCTION("""COMPUTED_VALUE"""),"ACALANES BOOSTER CLUB")</f>
        <v>ACALANES BOOSTER CLUB</v>
      </c>
      <c r="F10" s="30" t="str">
        <f ca="1">IFERROR(__xludf.DUMMYFUNCTION("""COMPUTED_VALUE"""),"DONATION")</f>
        <v>DONATION</v>
      </c>
      <c r="G10" s="57">
        <f ca="1">IFERROR(__xludf.DUMMYFUNCTION("""COMPUTED_VALUE"""),8692)</f>
        <v>8692</v>
      </c>
      <c r="H10" s="30" t="str">
        <f ca="1">IFERROR(__xludf.DUMMYFUNCTION("""COMPUTED_VALUE"""),"0000")</f>
        <v>0000</v>
      </c>
      <c r="I10" s="30"/>
      <c r="J10" s="30"/>
      <c r="K10" s="30"/>
      <c r="L10" s="48"/>
      <c r="M10" s="49"/>
      <c r="N10" s="30"/>
      <c r="O10" s="30"/>
      <c r="P10" s="30"/>
      <c r="Q10" s="30"/>
      <c r="R10" s="30"/>
      <c r="S10" s="30"/>
      <c r="T10" s="30"/>
      <c r="U10" s="30"/>
      <c r="V10" s="30"/>
      <c r="W10" s="30"/>
      <c r="X10" s="30"/>
      <c r="Y10" s="30"/>
      <c r="Z10" s="30"/>
    </row>
    <row r="11" spans="1:26">
      <c r="A11" s="30" t="str">
        <f ca="1">IFERROR(__xludf.DUMMYFUNCTION("""COMPUTED_VALUE"""),"Officials/Dues")</f>
        <v>Officials/Dues</v>
      </c>
      <c r="B11" s="30" t="str">
        <f ca="1">IFERROR(__xludf.DUMMYFUNCTION("""COMPUTED_VALUE"""),"AHS SOFTBALL OFFICIALS")</f>
        <v>AHS SOFTBALL OFFICIALS</v>
      </c>
      <c r="C11" s="57">
        <f ca="1">IFERROR(__xludf.DUMMYFUNCTION("""COMPUTED_VALUE"""),-1570)</f>
        <v>-1570</v>
      </c>
      <c r="D11" s="58">
        <f ca="1">IFERROR(__xludf.DUMMYFUNCTION("""COMPUTED_VALUE"""),45665)</f>
        <v>45665</v>
      </c>
      <c r="E11" s="30" t="str">
        <f ca="1">IFERROR(__xludf.DUMMYFUNCTION("""COMPUTED_VALUE"""),"MID-COUNTY OFFICIALS NETWORK")</f>
        <v>MID-COUNTY OFFICIALS NETWORK</v>
      </c>
      <c r="F11" s="30" t="str">
        <f ca="1">IFERROR(__xludf.DUMMYFUNCTION("""COMPUTED_VALUE"""),"ACAMCOWJVVSB024S")</f>
        <v>ACAMCOWJVVSB024S</v>
      </c>
      <c r="G11" s="57">
        <f ca="1">IFERROR(__xludf.DUMMYFUNCTION("""COMPUTED_VALUE"""),5840)</f>
        <v>5840</v>
      </c>
      <c r="H11" s="30" t="str">
        <f ca="1">IFERROR(__xludf.DUMMYFUNCTION("""COMPUTED_VALUE"""),"4200")</f>
        <v>4200</v>
      </c>
      <c r="I11" s="30"/>
      <c r="J11" s="30"/>
      <c r="K11" s="30"/>
      <c r="L11" s="48"/>
      <c r="M11" s="49"/>
      <c r="N11" s="30"/>
      <c r="O11" s="30"/>
      <c r="P11" s="30"/>
      <c r="Q11" s="30"/>
      <c r="R11" s="30"/>
      <c r="S11" s="30"/>
      <c r="T11" s="30"/>
      <c r="U11" s="30"/>
      <c r="V11" s="30"/>
      <c r="W11" s="30"/>
      <c r="X11" s="30"/>
      <c r="Y11" s="30"/>
      <c r="Z11" s="30"/>
    </row>
    <row r="12" spans="1:26">
      <c r="A12" s="30"/>
      <c r="B12" s="30"/>
      <c r="C12" s="57"/>
      <c r="D12" s="58"/>
      <c r="E12" s="30"/>
      <c r="F12" s="30"/>
      <c r="G12" s="57"/>
      <c r="H12" s="30"/>
      <c r="I12" s="30"/>
      <c r="J12" s="30"/>
      <c r="K12" s="30"/>
      <c r="L12" s="48"/>
      <c r="M12" s="49"/>
      <c r="N12" s="30"/>
      <c r="O12" s="30"/>
      <c r="P12" s="30"/>
      <c r="Q12" s="30"/>
      <c r="R12" s="30"/>
      <c r="S12" s="30"/>
      <c r="T12" s="30"/>
      <c r="U12" s="30"/>
      <c r="V12" s="30"/>
      <c r="W12" s="30"/>
      <c r="X12" s="30"/>
      <c r="Y12" s="30"/>
      <c r="Z12" s="30"/>
    </row>
    <row r="13" spans="1:26">
      <c r="A13" s="30"/>
      <c r="B13" s="30"/>
      <c r="C13" s="57"/>
      <c r="D13" s="58"/>
      <c r="E13" s="30"/>
      <c r="F13" s="30"/>
      <c r="G13" s="57"/>
      <c r="H13" s="30"/>
      <c r="I13" s="30"/>
      <c r="J13" s="30"/>
      <c r="K13" s="30"/>
      <c r="L13" s="48"/>
      <c r="M13" s="49"/>
      <c r="N13" s="30"/>
      <c r="O13" s="30"/>
      <c r="P13" s="30"/>
      <c r="Q13" s="30"/>
      <c r="R13" s="30"/>
      <c r="S13" s="30"/>
      <c r="T13" s="30"/>
      <c r="U13" s="30"/>
      <c r="V13" s="30"/>
      <c r="W13" s="30"/>
      <c r="X13" s="30"/>
      <c r="Y13" s="30"/>
      <c r="Z13" s="30"/>
    </row>
    <row r="14" spans="1:26">
      <c r="A14" s="30"/>
      <c r="B14" s="30"/>
      <c r="C14" s="57"/>
      <c r="D14" s="58"/>
      <c r="E14" s="30"/>
      <c r="F14" s="30"/>
      <c r="G14" s="57"/>
      <c r="H14" s="30"/>
      <c r="I14" s="30"/>
      <c r="J14" s="30"/>
      <c r="K14" s="30"/>
      <c r="L14" s="48"/>
      <c r="M14" s="49"/>
      <c r="N14" s="30"/>
      <c r="O14" s="30"/>
      <c r="P14" s="30"/>
      <c r="Q14" s="30"/>
      <c r="R14" s="30"/>
      <c r="S14" s="30"/>
      <c r="T14" s="30"/>
      <c r="U14" s="30"/>
      <c r="V14" s="30"/>
      <c r="W14" s="30"/>
      <c r="X14" s="30"/>
      <c r="Y14" s="30"/>
      <c r="Z14" s="30"/>
    </row>
    <row r="15" spans="1:26">
      <c r="A15" s="30"/>
      <c r="B15" s="30"/>
      <c r="C15" s="57"/>
      <c r="D15" s="58"/>
      <c r="E15" s="30"/>
      <c r="F15" s="30"/>
      <c r="G15" s="57"/>
      <c r="H15" s="30"/>
      <c r="I15" s="30"/>
      <c r="J15" s="30"/>
      <c r="K15" s="30"/>
      <c r="L15" s="48"/>
      <c r="M15" s="49"/>
      <c r="N15" s="30"/>
      <c r="O15" s="30"/>
      <c r="P15" s="30"/>
      <c r="Q15" s="30"/>
      <c r="R15" s="30"/>
      <c r="S15" s="30"/>
      <c r="T15" s="30"/>
      <c r="U15" s="30"/>
      <c r="V15" s="30"/>
      <c r="W15" s="30"/>
      <c r="X15" s="30"/>
      <c r="Y15" s="30"/>
      <c r="Z15" s="30"/>
    </row>
    <row r="16" spans="1:26">
      <c r="A16" s="30"/>
      <c r="B16" s="30"/>
      <c r="C16" s="57"/>
      <c r="D16" s="58"/>
      <c r="E16" s="30"/>
      <c r="F16" s="30"/>
      <c r="G16" s="57"/>
      <c r="H16" s="30"/>
      <c r="I16" s="30"/>
      <c r="J16" s="30"/>
      <c r="K16" s="30"/>
      <c r="L16" s="48"/>
      <c r="M16" s="49"/>
      <c r="N16" s="30"/>
      <c r="O16" s="30"/>
      <c r="P16" s="30"/>
      <c r="Q16" s="30"/>
      <c r="R16" s="30"/>
      <c r="S16" s="30"/>
      <c r="T16" s="30"/>
      <c r="U16" s="30"/>
      <c r="V16" s="30"/>
      <c r="W16" s="30"/>
      <c r="X16" s="30"/>
      <c r="Y16" s="30"/>
      <c r="Z16" s="30"/>
    </row>
    <row r="17" spans="1:26">
      <c r="A17" s="30"/>
      <c r="B17" s="30"/>
      <c r="C17" s="57"/>
      <c r="D17" s="58"/>
      <c r="E17" s="30"/>
      <c r="F17" s="30"/>
      <c r="G17" s="57"/>
      <c r="H17" s="30"/>
      <c r="I17" s="30"/>
      <c r="J17" s="30"/>
      <c r="K17" s="30"/>
      <c r="L17" s="48"/>
      <c r="M17" s="49"/>
      <c r="N17" s="30"/>
      <c r="O17" s="30"/>
      <c r="P17" s="30"/>
      <c r="Q17" s="30"/>
      <c r="R17" s="30"/>
      <c r="S17" s="30"/>
      <c r="T17" s="30"/>
      <c r="U17" s="30"/>
      <c r="V17" s="30"/>
      <c r="W17" s="30"/>
      <c r="X17" s="30"/>
      <c r="Y17" s="30"/>
      <c r="Z17" s="30"/>
    </row>
    <row r="18" spans="1:26">
      <c r="A18" s="30"/>
      <c r="B18" s="30"/>
      <c r="C18" s="57"/>
      <c r="D18" s="58"/>
      <c r="E18" s="30"/>
      <c r="F18" s="30"/>
      <c r="G18" s="57"/>
      <c r="H18" s="30"/>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56</v>
      </c>
      <c r="B1" s="59" t="s">
        <v>62</v>
      </c>
    </row>
    <row r="2" spans="1:2">
      <c r="A2" s="30" t="s">
        <v>63</v>
      </c>
      <c r="B2" s="60" t="s">
        <v>64</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65</v>
      </c>
      <c r="B1" s="14" t="s">
        <v>66</v>
      </c>
      <c r="C1" s="14" t="s">
        <v>67</v>
      </c>
      <c r="D1" s="14" t="s">
        <v>68</v>
      </c>
      <c r="E1" s="14" t="s">
        <v>69</v>
      </c>
      <c r="F1" s="14" t="s">
        <v>70</v>
      </c>
      <c r="G1" s="14" t="s">
        <v>71</v>
      </c>
      <c r="H1" s="14" t="s">
        <v>2</v>
      </c>
      <c r="I1" s="14" t="s">
        <v>72</v>
      </c>
      <c r="J1" s="14" t="s">
        <v>73</v>
      </c>
      <c r="K1" s="14" t="s">
        <v>74</v>
      </c>
      <c r="L1" s="14" t="s">
        <v>75</v>
      </c>
    </row>
    <row r="2" spans="1:12">
      <c r="A2" s="61" t="s">
        <v>76</v>
      </c>
      <c r="B2" s="45" t="str">
        <f>"82"&amp;RIGHT(Budget!$A$1,2)</f>
        <v>8211</v>
      </c>
      <c r="C2" s="45">
        <f>Budget!$A$2</f>
        <v>1333</v>
      </c>
      <c r="D2" s="61" t="s">
        <v>61</v>
      </c>
      <c r="E2" s="45">
        <f>Budget!$A$1</f>
        <v>211</v>
      </c>
      <c r="F2" s="45">
        <f>Budget!$A$3</f>
        <v>2</v>
      </c>
      <c r="G2" s="61" t="s">
        <v>77</v>
      </c>
      <c r="H2" s="14">
        <v>8699</v>
      </c>
      <c r="I2" s="45" t="str">
        <f ca="1">VLOOKUP(Budget!$A$1,Schools!A:B,2)&amp;" "&amp;UPPER(Budget!$E$4)&amp;" CONTRIBUTIONS"</f>
        <v>AHS SOFTBALL CONTRIBUTIONS</v>
      </c>
      <c r="K2" s="36">
        <f>ROUND(SUMIF(Budget!A:A,H2,Budget!F:F)-K5,0)</f>
        <v>5400</v>
      </c>
      <c r="L2" s="45">
        <f t="shared" ref="L2:L26" si="0">SUM(J2:K2)</f>
        <v>5400</v>
      </c>
    </row>
    <row r="3" spans="1:12">
      <c r="A3" s="61" t="s">
        <v>76</v>
      </c>
      <c r="B3" s="45" t="str">
        <f>"82"&amp;RIGHT(Budget!$A$1,2)</f>
        <v>8211</v>
      </c>
      <c r="C3" s="45">
        <f>Budget!$A$2</f>
        <v>1333</v>
      </c>
      <c r="D3" s="61" t="s">
        <v>61</v>
      </c>
      <c r="E3" s="45">
        <f>Budget!$A$1</f>
        <v>211</v>
      </c>
      <c r="F3" s="45">
        <f>Budget!$A$3</f>
        <v>2</v>
      </c>
      <c r="G3" s="61" t="s">
        <v>77</v>
      </c>
      <c r="H3" s="14">
        <v>8692</v>
      </c>
      <c r="I3" s="45" t="str">
        <f ca="1">VLOOKUP(Budget!$A$1,Schools!A:B,2)&amp;" "&amp;UPPER(Budget!$E$4)&amp;" DONATIONS"</f>
        <v>AHS SOFTBALL DONATIONS</v>
      </c>
      <c r="K3" s="36">
        <f>VLOOKUP($H3,Budget!A:F,6,0)</f>
        <v>6592</v>
      </c>
      <c r="L3" s="45">
        <f t="shared" si="0"/>
        <v>6592</v>
      </c>
    </row>
    <row r="4" spans="1:12">
      <c r="A4" s="61" t="s">
        <v>76</v>
      </c>
      <c r="B4" s="45" t="str">
        <f>"82"&amp;RIGHT(Budget!$A$1,2)</f>
        <v>8211</v>
      </c>
      <c r="C4" s="45">
        <f>Budget!$A$2</f>
        <v>1333</v>
      </c>
      <c r="D4" s="61" t="s">
        <v>61</v>
      </c>
      <c r="E4" s="45">
        <f>Budget!$A$1</f>
        <v>211</v>
      </c>
      <c r="F4" s="45">
        <f>Budget!$A$3</f>
        <v>2</v>
      </c>
      <c r="G4" s="61" t="s">
        <v>77</v>
      </c>
      <c r="H4" s="14">
        <v>8693</v>
      </c>
      <c r="I4" s="45" t="str">
        <f ca="1">VLOOKUP(Budget!$A$1,Schools!A:B,2)&amp;" "&amp;UPPER(Budget!$E$4)&amp;" FUNDRAISING"</f>
        <v>AHS SOFTBALL FUNDRAISING</v>
      </c>
      <c r="K4" s="36">
        <f>VLOOKUP($H4,Budget!A:F,6,0)</f>
        <v>0</v>
      </c>
      <c r="L4" s="45">
        <f t="shared" si="0"/>
        <v>0</v>
      </c>
    </row>
    <row r="5" spans="1:12">
      <c r="A5" s="61" t="s">
        <v>76</v>
      </c>
      <c r="B5" s="45" t="str">
        <f>"82"&amp;RIGHT(Budget!$A$1,2)</f>
        <v>8211</v>
      </c>
      <c r="C5" s="45">
        <f>Budget!$A$2</f>
        <v>1333</v>
      </c>
      <c r="D5" s="61" t="s">
        <v>61</v>
      </c>
      <c r="E5" s="45">
        <f>Budget!$A$1</f>
        <v>211</v>
      </c>
      <c r="F5" s="45">
        <f>Budget!$A$3</f>
        <v>2</v>
      </c>
      <c r="G5" s="61" t="s">
        <v>77</v>
      </c>
      <c r="H5" s="14">
        <v>8694</v>
      </c>
      <c r="I5" s="45" t="str">
        <f ca="1">VLOOKUP(Budget!$A$1,Schools!A:B,2)&amp;" "&amp;UPPER(Budget!$E$4)&amp;" PAL"</f>
        <v>AHS SOFTBALL PAL</v>
      </c>
      <c r="K5" s="36">
        <f>VLOOKUP($H5,Budget!$A:$F,6,0)</f>
        <v>600</v>
      </c>
      <c r="L5" s="45">
        <f t="shared" si="0"/>
        <v>600</v>
      </c>
    </row>
    <row r="6" spans="1:12">
      <c r="A6" s="61" t="s">
        <v>76</v>
      </c>
      <c r="B6" s="45" t="str">
        <f>"82"&amp;RIGHT(Budget!$A$1,2)</f>
        <v>8211</v>
      </c>
      <c r="C6" s="45">
        <f>Budget!$A$2</f>
        <v>1333</v>
      </c>
      <c r="D6" s="61" t="s">
        <v>78</v>
      </c>
      <c r="E6" s="45">
        <f>Budget!$A$1</f>
        <v>211</v>
      </c>
      <c r="F6" s="45">
        <f>Budget!$A$3</f>
        <v>2</v>
      </c>
      <c r="G6" s="61" t="s">
        <v>79</v>
      </c>
      <c r="H6" s="14">
        <v>2180</v>
      </c>
      <c r="I6" s="45" t="str">
        <f ca="1">VLOOKUP(Budget!$A$1,Schools!A:B,2)&amp;" "&amp;UPPER(Budget!$E$4)&amp;" COACH STIPEND"</f>
        <v>AHS SOFTBALL COACH STIPEND</v>
      </c>
      <c r="J6" s="62">
        <f>ROUND(Budget!F25/1.205022,0)</f>
        <v>5400</v>
      </c>
      <c r="L6" s="62">
        <f t="shared" si="0"/>
        <v>5400</v>
      </c>
    </row>
    <row r="7" spans="1:12">
      <c r="A7" s="61" t="s">
        <v>76</v>
      </c>
      <c r="B7" s="45" t="str">
        <f>"82"&amp;RIGHT(Budget!$A$1,2)</f>
        <v>8211</v>
      </c>
      <c r="C7" s="45">
        <f>Budget!$A$2</f>
        <v>1333</v>
      </c>
      <c r="D7" s="61" t="s">
        <v>78</v>
      </c>
      <c r="E7" s="45">
        <f>Budget!$A$1</f>
        <v>211</v>
      </c>
      <c r="F7" s="45">
        <f>Budget!$A$3</f>
        <v>2</v>
      </c>
      <c r="G7" s="61" t="s">
        <v>79</v>
      </c>
      <c r="H7" s="14">
        <v>3302</v>
      </c>
      <c r="I7" s="45" t="str">
        <f ca="1">VLOOKUP(Budget!$A$1,Schools!A:B,2)&amp;" "&amp;UPPER(Budget!$E$4)&amp;" COACH FICA"</f>
        <v>AHS SOFTBALL COACH FICA</v>
      </c>
      <c r="J7" s="62">
        <f>ROUND(J6*0.0765,0)</f>
        <v>413</v>
      </c>
      <c r="L7" s="62">
        <f t="shared" si="0"/>
        <v>413</v>
      </c>
    </row>
    <row r="8" spans="1:12">
      <c r="A8" s="61" t="s">
        <v>76</v>
      </c>
      <c r="B8" s="45" t="str">
        <f>"82"&amp;RIGHT(Budget!$A$1,2)</f>
        <v>8211</v>
      </c>
      <c r="C8" s="45">
        <f>Budget!$A$2</f>
        <v>1333</v>
      </c>
      <c r="D8" s="61" t="s">
        <v>78</v>
      </c>
      <c r="E8" s="45">
        <f>Budget!$A$1</f>
        <v>211</v>
      </c>
      <c r="F8" s="45">
        <f>Budget!$A$3</f>
        <v>2</v>
      </c>
      <c r="G8" s="61" t="s">
        <v>79</v>
      </c>
      <c r="H8" s="14">
        <v>3502</v>
      </c>
      <c r="I8" s="45" t="str">
        <f ca="1">VLOOKUP(Budget!$A$1,Schools!A:B,2)&amp;" "&amp;UPPER(Budget!$E$4)&amp;" COACH SUI"</f>
        <v>AHS SOFTBALL COACH SUI</v>
      </c>
      <c r="J8" s="62">
        <f>ROUND(J6*0.0005,0)</f>
        <v>3</v>
      </c>
      <c r="L8" s="62">
        <f t="shared" si="0"/>
        <v>3</v>
      </c>
    </row>
    <row r="9" spans="1:12">
      <c r="A9" s="61" t="s">
        <v>76</v>
      </c>
      <c r="B9" s="45" t="str">
        <f>"82"&amp;RIGHT(Budget!$A$1,2)</f>
        <v>8211</v>
      </c>
      <c r="C9" s="45">
        <f>Budget!$A$2</f>
        <v>1333</v>
      </c>
      <c r="D9" s="61" t="s">
        <v>78</v>
      </c>
      <c r="E9" s="45">
        <f>Budget!$A$1</f>
        <v>211</v>
      </c>
      <c r="F9" s="45">
        <f>Budget!$A$3</f>
        <v>2</v>
      </c>
      <c r="G9" s="61" t="s">
        <v>79</v>
      </c>
      <c r="H9" s="14">
        <v>3602</v>
      </c>
      <c r="I9" s="45" t="str">
        <f ca="1">VLOOKUP(Budget!$A$1,Schools!A:B,2)&amp;" "&amp;UPPER(Budget!$E$4)&amp;" COACH WC"</f>
        <v>AHS SOFTBALL COACH WC</v>
      </c>
      <c r="J9" s="62">
        <f>ROUND(J6*0.018511,0)</f>
        <v>100</v>
      </c>
      <c r="L9" s="62">
        <f t="shared" si="0"/>
        <v>100</v>
      </c>
    </row>
    <row r="10" spans="1:12">
      <c r="A10" s="61" t="s">
        <v>76</v>
      </c>
      <c r="B10" s="45" t="str">
        <f>"82"&amp;RIGHT(Budget!$A$1,2)</f>
        <v>8211</v>
      </c>
      <c r="C10" s="57">
        <f>Budget!$A$2</f>
        <v>1333</v>
      </c>
      <c r="D10" s="50" t="s">
        <v>80</v>
      </c>
      <c r="E10" s="45">
        <f>Budget!$A$1</f>
        <v>211</v>
      </c>
      <c r="F10" s="45">
        <f>Budget!$A$3</f>
        <v>2</v>
      </c>
      <c r="G10" s="61" t="s">
        <v>77</v>
      </c>
      <c r="H10" s="14">
        <v>7350</v>
      </c>
      <c r="I10" s="45" t="str">
        <f ca="1">VLOOKUP(Budget!$A$1,Schools!A:B,2)&amp;" "&amp;UPPER(Budget!$E$4)&amp;" INDIRECT COST"</f>
        <v>AHS SOFTBALL INDIRECT COST</v>
      </c>
      <c r="J10" s="62">
        <f>ROUND(SUM(J6:J9)*0.1,0)</f>
        <v>592</v>
      </c>
      <c r="L10" s="62">
        <f t="shared" si="0"/>
        <v>592</v>
      </c>
    </row>
    <row r="11" spans="1:12">
      <c r="A11" s="61" t="s">
        <v>76</v>
      </c>
      <c r="B11" s="45" t="str">
        <f>"82"&amp;RIGHT(Budget!$A$1,2)</f>
        <v>8211</v>
      </c>
      <c r="C11" s="57">
        <f>Budget!$A$2</f>
        <v>1333</v>
      </c>
      <c r="D11" s="50" t="s">
        <v>78</v>
      </c>
      <c r="E11" s="45">
        <f>Budget!$A$1</f>
        <v>211</v>
      </c>
      <c r="F11" s="45">
        <f>Budget!$A$3</f>
        <v>2</v>
      </c>
      <c r="G11" s="45" t="str">
        <f>"0"&amp;RIGHT(Budget!$A$1,2)</f>
        <v>011</v>
      </c>
      <c r="H11" s="14">
        <v>4341</v>
      </c>
      <c r="I11" s="45" t="str">
        <f ca="1">VLOOKUP(Budget!$A$1,Schools!A:B,2)&amp;" "&amp;UPPER(Budget!$E$4)&amp;" PLAYER UNIFORMS"</f>
        <v>AHS SOFTBALL PLAYER UNIFORMS</v>
      </c>
      <c r="J11" s="62">
        <f>VLOOKUP($H11,Budget!$A:$F,6,0)</f>
        <v>3088.5</v>
      </c>
      <c r="L11" s="62">
        <f t="shared" si="0"/>
        <v>3088.5</v>
      </c>
    </row>
    <row r="12" spans="1:12">
      <c r="A12" s="61" t="s">
        <v>76</v>
      </c>
      <c r="B12" s="45" t="str">
        <f>"82"&amp;RIGHT(Budget!$A$1,2)</f>
        <v>8211</v>
      </c>
      <c r="C12" s="57">
        <f>Budget!$A$2</f>
        <v>1333</v>
      </c>
      <c r="D12" s="50" t="s">
        <v>78</v>
      </c>
      <c r="E12" s="45">
        <f>Budget!$A$1</f>
        <v>211</v>
      </c>
      <c r="F12" s="45">
        <f>Budget!$A$3</f>
        <v>2</v>
      </c>
      <c r="G12" s="45" t="str">
        <f>"0"&amp;RIGHT(Budget!$A$1,2)</f>
        <v>011</v>
      </c>
      <c r="H12" s="14">
        <v>4342</v>
      </c>
      <c r="I12" s="45" t="str">
        <f ca="1">VLOOKUP(Budget!$A$1,Schools!A:B,2)&amp;" "&amp;UPPER(Budget!$E$4)&amp;" COACH UNIFORM"</f>
        <v>AHS SOFTBALL COACH UNIFORM</v>
      </c>
      <c r="J12" s="62">
        <f>VLOOKUP($H12,Budget!$A:$F,6,0)</f>
        <v>0</v>
      </c>
      <c r="L12" s="62">
        <f t="shared" si="0"/>
        <v>0</v>
      </c>
    </row>
    <row r="13" spans="1:12">
      <c r="A13" s="61" t="s">
        <v>76</v>
      </c>
      <c r="B13" s="45" t="str">
        <f>"82"&amp;RIGHT(Budget!$A$1,2)</f>
        <v>8211</v>
      </c>
      <c r="C13" s="57">
        <f>Budget!$A$2</f>
        <v>1333</v>
      </c>
      <c r="D13" s="50" t="s">
        <v>78</v>
      </c>
      <c r="E13" s="45">
        <f>Budget!$A$1</f>
        <v>211</v>
      </c>
      <c r="F13" s="45">
        <f>Budget!$A$3</f>
        <v>2</v>
      </c>
      <c r="G13" s="45" t="str">
        <f>"0"&amp;RIGHT(Budget!$A$1,2)</f>
        <v>011</v>
      </c>
      <c r="H13" s="14">
        <v>5840</v>
      </c>
      <c r="I13" s="45" t="str">
        <f ca="1">VLOOKUP(Budget!$A$1,Schools!A:B,2)&amp;" "&amp;UPPER(Budget!$E$4)&amp;" OFFICAL/DUES"</f>
        <v>AHS SOFTBALL OFFICAL/DUES</v>
      </c>
      <c r="J13" s="62">
        <f>VLOOKUP($H13,Budget!$A:$F,6,0)</f>
        <v>1072</v>
      </c>
      <c r="L13" s="62">
        <f t="shared" si="0"/>
        <v>1072</v>
      </c>
    </row>
    <row r="14" spans="1:12">
      <c r="A14" s="61" t="s">
        <v>76</v>
      </c>
      <c r="B14" s="45" t="str">
        <f>"82"&amp;RIGHT(Budget!$A$1,2)</f>
        <v>8211</v>
      </c>
      <c r="C14" s="57">
        <f>Budget!$A$2</f>
        <v>1333</v>
      </c>
      <c r="D14" s="50" t="s">
        <v>78</v>
      </c>
      <c r="E14" s="45">
        <f>Budget!$A$1</f>
        <v>211</v>
      </c>
      <c r="F14" s="45">
        <f>Budget!$A$3</f>
        <v>2</v>
      </c>
      <c r="G14" s="45" t="str">
        <f>"0"&amp;RIGHT(Budget!$A$1,2)</f>
        <v>011</v>
      </c>
      <c r="H14" s="14">
        <v>5841</v>
      </c>
      <c r="I14" s="45" t="str">
        <f ca="1">VLOOKUP(Budget!$A$1,Schools!A:B,2)&amp;" "&amp;UPPER(Budget!$E$4)&amp;" TRAVEL"</f>
        <v>AHS SOFTBALL TRAVEL</v>
      </c>
      <c r="J14" s="62">
        <f>VLOOKUP($H14,Budget!$A:$F,6,0)</f>
        <v>0</v>
      </c>
      <c r="L14" s="62">
        <f t="shared" si="0"/>
        <v>0</v>
      </c>
    </row>
    <row r="15" spans="1:12">
      <c r="A15" s="61" t="s">
        <v>76</v>
      </c>
      <c r="B15" s="45" t="str">
        <f>"82"&amp;RIGHT(Budget!$A$1,2)</f>
        <v>8211</v>
      </c>
      <c r="C15" s="57">
        <f>Budget!$A$2</f>
        <v>1333</v>
      </c>
      <c r="D15" s="50" t="s">
        <v>78</v>
      </c>
      <c r="E15" s="45">
        <f>Budget!$A$1</f>
        <v>211</v>
      </c>
      <c r="F15" s="45">
        <f>Budget!$A$3</f>
        <v>2</v>
      </c>
      <c r="G15" s="45" t="str">
        <f>"0"&amp;RIGHT(Budget!$A$1,2)</f>
        <v>011</v>
      </c>
      <c r="H15" s="14">
        <v>5842</v>
      </c>
      <c r="I15" s="45" t="str">
        <f ca="1">VLOOKUP(Budget!$A$1,Schools!A:B,2)&amp;" "&amp;UPPER(Budget!$E$4)&amp;" TOURNAMENT"</f>
        <v>AHS SOFTBALL TOURNAMENT</v>
      </c>
      <c r="J15" s="62">
        <f>VLOOKUP($H15,Budget!$A:$F,6,0)</f>
        <v>0</v>
      </c>
      <c r="L15" s="62">
        <f t="shared" si="0"/>
        <v>0</v>
      </c>
    </row>
    <row r="16" spans="1:12">
      <c r="A16" s="61" t="s">
        <v>76</v>
      </c>
      <c r="B16" s="45" t="str">
        <f>"82"&amp;RIGHT(Budget!$A$1,2)</f>
        <v>8211</v>
      </c>
      <c r="C16" s="57">
        <f>Budget!$A$2</f>
        <v>1333</v>
      </c>
      <c r="D16" s="50" t="s">
        <v>78</v>
      </c>
      <c r="E16" s="45">
        <f>Budget!$A$1</f>
        <v>211</v>
      </c>
      <c r="F16" s="45">
        <f>Budget!$A$3</f>
        <v>2</v>
      </c>
      <c r="G16" s="45" t="str">
        <f>"0"&amp;RIGHT(Budget!$A$1,2)</f>
        <v>011</v>
      </c>
      <c r="H16" s="14">
        <v>4343</v>
      </c>
      <c r="I16" s="45" t="str">
        <f ca="1">VLOOKUP(Budget!$A$1,Schools!A:B,2)&amp;" "&amp;UPPER(Budget!$E$4)&amp;" EQUIPMENT"</f>
        <v>AHS SOFTBALL EQUIPMENT</v>
      </c>
      <c r="J16" s="62">
        <f>VLOOKUP($H16,Budget!$A:$F,6,0)</f>
        <v>1785.83</v>
      </c>
      <c r="L16" s="62">
        <f t="shared" si="0"/>
        <v>1785.83</v>
      </c>
    </row>
    <row r="17" spans="1:12">
      <c r="A17" s="61" t="s">
        <v>76</v>
      </c>
      <c r="B17" s="45" t="str">
        <f>"82"&amp;RIGHT(Budget!$A$1,2)</f>
        <v>8211</v>
      </c>
      <c r="C17" s="57">
        <f>Budget!$A$2</f>
        <v>1333</v>
      </c>
      <c r="D17" s="50" t="s">
        <v>81</v>
      </c>
      <c r="E17" s="45">
        <f>Budget!$A$1</f>
        <v>211</v>
      </c>
      <c r="F17" s="45">
        <f>Budget!$A$3</f>
        <v>2</v>
      </c>
      <c r="G17" s="61" t="s">
        <v>79</v>
      </c>
      <c r="H17" s="14">
        <v>2250</v>
      </c>
      <c r="I17" s="45" t="str">
        <f ca="1">VLOOKUP(Budget!$A$1,Schools!A:B,2)&amp;" "&amp;UPPER(Budget!$E$4)&amp;" CUSTODIAL HRLY"</f>
        <v>AHS SOFTBALL CUSTODIAL HRLY</v>
      </c>
      <c r="J17" s="62">
        <f>VLOOKUP($H17,Budget!$A:$F,6,0)</f>
        <v>100</v>
      </c>
      <c r="L17" s="62">
        <f t="shared" si="0"/>
        <v>100</v>
      </c>
    </row>
    <row r="18" spans="1:12">
      <c r="A18" s="61" t="s">
        <v>76</v>
      </c>
      <c r="B18" s="45" t="str">
        <f>"82"&amp;RIGHT(Budget!$A$1,2)</f>
        <v>8211</v>
      </c>
      <c r="C18" s="57">
        <f>Budget!$A$2</f>
        <v>1333</v>
      </c>
      <c r="D18" s="50" t="s">
        <v>78</v>
      </c>
      <c r="E18" s="45">
        <f>Budget!$A$1</f>
        <v>211</v>
      </c>
      <c r="F18" s="45">
        <f>Budget!$A$3</f>
        <v>2</v>
      </c>
      <c r="G18" s="45" t="str">
        <f>"0"&amp;RIGHT(Budget!$A$1,2)</f>
        <v>011</v>
      </c>
      <c r="H18" s="14">
        <v>5843</v>
      </c>
      <c r="I18" s="45" t="str">
        <f ca="1">VLOOKUP(Budget!$A$1,Schools!A:B,2)&amp;" "&amp;UPPER(Budget!$E$4)&amp;" BANQUET LUNCH"</f>
        <v>AHS SOFTBALL BANQUET LUNCH</v>
      </c>
      <c r="J18" s="62">
        <f>VLOOKUP($H18,Budget!$A:$F,6,0)</f>
        <v>500</v>
      </c>
      <c r="L18" s="62">
        <f t="shared" si="0"/>
        <v>500</v>
      </c>
    </row>
    <row r="19" spans="1:12">
      <c r="A19" s="61" t="s">
        <v>76</v>
      </c>
      <c r="B19" s="45" t="str">
        <f>"82"&amp;RIGHT(Budget!$A$1,2)</f>
        <v>8211</v>
      </c>
      <c r="C19" s="57">
        <f>Budget!$A$2</f>
        <v>1333</v>
      </c>
      <c r="D19" s="50" t="s">
        <v>78</v>
      </c>
      <c r="E19" s="45">
        <f>Budget!$A$1</f>
        <v>211</v>
      </c>
      <c r="F19" s="45">
        <f>Budget!$A$3</f>
        <v>2</v>
      </c>
      <c r="G19" s="45" t="str">
        <f>"0"&amp;RIGHT(Budget!$A$1,2)</f>
        <v>011</v>
      </c>
      <c r="H19" s="14">
        <v>5845</v>
      </c>
      <c r="I19" s="45" t="str">
        <f ca="1">VLOOKUP(Budget!$A$1,Schools!A:B,2)&amp;" "&amp;UPPER(Budget!$E$4)&amp;" OFFSEASON"</f>
        <v>AHS SOFTBALL OFFSEASON</v>
      </c>
      <c r="J19" s="62">
        <f>VLOOKUP($H19,Budget!$A:$F,6,0)</f>
        <v>0</v>
      </c>
      <c r="L19" s="62">
        <f t="shared" si="0"/>
        <v>0</v>
      </c>
    </row>
    <row r="20" spans="1:12">
      <c r="A20" s="61" t="s">
        <v>76</v>
      </c>
      <c r="B20" s="45" t="str">
        <f>"82"&amp;RIGHT(Budget!$A$1,2)</f>
        <v>8211</v>
      </c>
      <c r="C20" s="57">
        <f>Budget!$A$2</f>
        <v>1333</v>
      </c>
      <c r="D20" s="50" t="s">
        <v>78</v>
      </c>
      <c r="E20" s="45">
        <f>Budget!$A$1</f>
        <v>211</v>
      </c>
      <c r="F20" s="45">
        <f>Budget!$A$3</f>
        <v>2</v>
      </c>
      <c r="G20" s="45" t="str">
        <f>"0"&amp;RIGHT(Budget!$A$1,2)</f>
        <v>011</v>
      </c>
      <c r="H20" s="14">
        <v>4344</v>
      </c>
      <c r="I20" s="45" t="str">
        <f ca="1">VLOOKUP(Budget!$A$1,Schools!A:B,2)&amp;" "&amp;UPPER(Budget!$E$4)&amp;" OTHER"</f>
        <v>AHS SOFTBALL OTHER</v>
      </c>
      <c r="J20" s="62">
        <f>VLOOKUP($H20,Budget!$A:$F,6,0)</f>
        <v>380</v>
      </c>
      <c r="L20" s="62">
        <f t="shared" si="0"/>
        <v>380</v>
      </c>
    </row>
    <row r="21" spans="1:12">
      <c r="A21" s="61" t="s">
        <v>76</v>
      </c>
      <c r="B21" s="45" t="str">
        <f>"82"&amp;RIGHT(Budget!$A$1,2)</f>
        <v>8211</v>
      </c>
      <c r="C21" s="57">
        <f>Budget!$A$2</f>
        <v>1333</v>
      </c>
      <c r="D21" s="50" t="s">
        <v>78</v>
      </c>
      <c r="E21" s="45">
        <f>Budget!$A$1</f>
        <v>211</v>
      </c>
      <c r="F21" s="45">
        <f>Budget!$A$3</f>
        <v>2</v>
      </c>
      <c r="G21" s="45" t="str">
        <f>"0"&amp;RIGHT(Budget!$A$1,2)</f>
        <v>011</v>
      </c>
      <c r="H21" s="14">
        <v>4345</v>
      </c>
      <c r="I21" s="45" t="str">
        <f ca="1">VLOOKUP(Budget!$A$1,Schools!A:B,2)&amp;" "&amp;UPPER(Budget!$E$4)&amp;" FUNDRAISING EXPENSE"</f>
        <v>AHS SOFTBALL FUNDRAISING EXPENSE</v>
      </c>
      <c r="J21" s="62">
        <f>Budget!F35</f>
        <v>0</v>
      </c>
      <c r="L21" s="62">
        <f t="shared" si="0"/>
        <v>0</v>
      </c>
    </row>
    <row r="22" spans="1:12">
      <c r="A22" s="61" t="s">
        <v>76</v>
      </c>
      <c r="B22" s="45" t="str">
        <f>"82"&amp;RIGHT(Budget!$A$1,2)</f>
        <v>8211</v>
      </c>
      <c r="C22" s="57">
        <f>Budget!$A$2</f>
        <v>1333</v>
      </c>
      <c r="D22" s="50" t="s">
        <v>78</v>
      </c>
      <c r="E22" s="45">
        <f>Budget!$A$1</f>
        <v>211</v>
      </c>
      <c r="F22" s="45">
        <f>Budget!$A$3</f>
        <v>2</v>
      </c>
      <c r="G22" s="45" t="str">
        <f>"0"&amp;RIGHT(Budget!$A$1,2)</f>
        <v>011</v>
      </c>
      <c r="H22" s="14">
        <v>5844</v>
      </c>
      <c r="I22" s="45" t="str">
        <f ca="1">VLOOKUP(Budget!$A$1,Schools!A:B,2)&amp;" "&amp;UPPER(Budget!$E$4)&amp;" WEBSTORE FEES"</f>
        <v>AHS SOFTBALL WEBSTORE FEES</v>
      </c>
      <c r="J22" s="36">
        <f>ROUND(VLOOKUP($H22,Budget!$A:$F,6,0),0)</f>
        <v>240</v>
      </c>
      <c r="L22" s="36">
        <f t="shared" si="0"/>
        <v>240</v>
      </c>
    </row>
    <row r="23" spans="1:12">
      <c r="A23" s="61" t="s">
        <v>76</v>
      </c>
      <c r="B23" s="45" t="str">
        <f>"82"&amp;RIGHT(Budget!$A$1,2)</f>
        <v>8211</v>
      </c>
      <c r="C23" s="57">
        <f>Budget!$A$2</f>
        <v>1333</v>
      </c>
      <c r="D23" s="50" t="s">
        <v>61</v>
      </c>
      <c r="E23" s="45">
        <f>Budget!$A$1</f>
        <v>211</v>
      </c>
      <c r="F23" s="45">
        <f>Budget!$A$3</f>
        <v>2</v>
      </c>
      <c r="G23" s="61" t="s">
        <v>77</v>
      </c>
      <c r="H23" s="14">
        <v>7994</v>
      </c>
      <c r="I23" s="45" t="str">
        <f ca="1">VLOOKUP(Budget!$A$1,Schools!A:B,2)&amp;" "&amp;UPPER(Budget!$E$4)&amp;" ENDING BALANCE"</f>
        <v>AHS SOFTBALL ENDING BALANCE</v>
      </c>
      <c r="J23" s="45" t="str">
        <f>IF(SUM(K2:K4)-SUM(J6:J22)&gt;=0,SUM(K2:K4)-SUM(J6:J22),"")</f>
        <v/>
      </c>
      <c r="K23" s="36">
        <f>IF(SUM(K2:K4)-SUM(J6:J22)&lt;0,-1*(SUM(K2:K4)-SUM(J6:J22)),"")</f>
        <v>1682.33</v>
      </c>
      <c r="L23" s="45">
        <f t="shared" si="0"/>
        <v>1682.33</v>
      </c>
    </row>
    <row r="24" spans="1:12">
      <c r="A24" s="61" t="s">
        <v>76</v>
      </c>
      <c r="B24" s="45" t="str">
        <f>"82"&amp;RIGHT(Budget!$A$1,2)</f>
        <v>8211</v>
      </c>
      <c r="C24" s="57">
        <f>Budget!$A$2</f>
        <v>1333</v>
      </c>
      <c r="D24" s="50" t="s">
        <v>61</v>
      </c>
      <c r="E24" s="45">
        <f>Budget!$A$1</f>
        <v>211</v>
      </c>
      <c r="F24" s="45">
        <f>Budget!$A$3</f>
        <v>2</v>
      </c>
      <c r="G24" s="61" t="s">
        <v>77</v>
      </c>
      <c r="H24" s="14">
        <v>8980</v>
      </c>
      <c r="I24" s="45" t="str">
        <f ca="1">VLOOKUP(Budget!$A$1,Schools!A:B,2)&amp;" "&amp;UPPER(Budget!$E$4)&amp;" PAL TRANSFER OUT"</f>
        <v>AHS SOFTBALL PAL TRANSFER OUT</v>
      </c>
      <c r="J24" s="36">
        <f>K5</f>
        <v>600</v>
      </c>
      <c r="L24" s="36">
        <f t="shared" si="0"/>
        <v>600</v>
      </c>
    </row>
    <row r="25" spans="1:12">
      <c r="A25" s="61" t="s">
        <v>76</v>
      </c>
      <c r="B25" s="45" t="str">
        <f>"82"&amp;RIGHT(Budget!$A$1,2)</f>
        <v>8211</v>
      </c>
      <c r="C25" s="63">
        <v>1301</v>
      </c>
      <c r="D25" s="50" t="s">
        <v>61</v>
      </c>
      <c r="E25" s="45">
        <f>Budget!$A$1</f>
        <v>211</v>
      </c>
      <c r="F25" s="45">
        <f>Budget!$A$3</f>
        <v>2</v>
      </c>
      <c r="G25" s="61" t="s">
        <v>77</v>
      </c>
      <c r="H25" s="14">
        <v>8980</v>
      </c>
      <c r="I25" s="45" t="str">
        <f ca="1">VLOOKUP(Budget!$A$1,Schools!A:B,2)&amp;" "&amp;UPPER(Budget!$E$4)&amp;" PAL TRANSFER ASB"</f>
        <v>AHS SOFTBALL PAL TRANSFER ASB</v>
      </c>
      <c r="K25" s="36">
        <f>J24</f>
        <v>600</v>
      </c>
      <c r="L25" s="45">
        <f t="shared" si="0"/>
        <v>600</v>
      </c>
    </row>
    <row r="26" spans="1:12">
      <c r="A26" s="61" t="s">
        <v>76</v>
      </c>
      <c r="B26" s="45" t="str">
        <f>"82"&amp;RIGHT(Budget!$A$1,2)</f>
        <v>8211</v>
      </c>
      <c r="C26" s="63">
        <v>1301</v>
      </c>
      <c r="D26" s="50" t="s">
        <v>61</v>
      </c>
      <c r="E26" s="45">
        <f>Budget!$A$1</f>
        <v>211</v>
      </c>
      <c r="F26" s="45">
        <f>Budget!$A$3</f>
        <v>2</v>
      </c>
      <c r="G26" s="61" t="s">
        <v>77</v>
      </c>
      <c r="H26" s="14">
        <v>7994</v>
      </c>
      <c r="I26" s="45" t="str">
        <f ca="1">VLOOKUP(Budget!$A$1,Schools!A:B,2)&amp;" "&amp;UPPER(Budget!$E$4)&amp;" PAL FUND BALANCE"</f>
        <v>AHS SOFTBALL PAL FUND BALANCE</v>
      </c>
      <c r="J26" s="36">
        <f>K25</f>
        <v>600</v>
      </c>
      <c r="L26" s="36">
        <f t="shared" si="0"/>
        <v>600</v>
      </c>
    </row>
    <row r="28" spans="1:12">
      <c r="J28" s="36">
        <f t="shared" ref="J28:K28" si="1">SUM(J2:J26)</f>
        <v>14874.33</v>
      </c>
      <c r="K28" s="36">
        <f t="shared" si="1"/>
        <v>14874.33</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82</v>
      </c>
    </row>
    <row r="2" spans="1:2">
      <c r="A2" s="14">
        <v>212</v>
      </c>
      <c r="B2" s="14" t="s">
        <v>83</v>
      </c>
    </row>
    <row r="3" spans="1:2">
      <c r="A3" s="14">
        <v>213</v>
      </c>
      <c r="B3" s="14" t="s">
        <v>84</v>
      </c>
    </row>
    <row r="4" spans="1:2">
      <c r="A4" s="14">
        <v>215</v>
      </c>
      <c r="B4" s="14"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2025-03-15T02:32:58Z</dcterms:created>
  <dcterms:modified xsi:type="dcterms:W3CDTF">2025-03-15T02:32:59Z</dcterms:modified>
</cp:coreProperties>
</file>